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Desktop-h7jahgi\e\Meus Documentos\Projetos 2019\Mundo Urbano\Iluminação Cidade\"/>
    </mc:Choice>
  </mc:AlternateContent>
  <bookViews>
    <workbookView xWindow="0" yWindow="0" windowWidth="19200" windowHeight="13035"/>
  </bookViews>
  <sheets>
    <sheet name="orçamento" sheetId="1" r:id="rId1"/>
    <sheet name="Plan1" sheetId="2" r:id="rId2"/>
  </sheets>
  <definedNames>
    <definedName name="_xlnm.Print_Area" localSheetId="0">orçamento!$A$1:$L$127</definedName>
    <definedName name="_xlnm.Print_Titles" localSheetId="0">orçamento!$1:$5</definedName>
  </definedNames>
  <calcPr calcId="162913"/>
</workbook>
</file>

<file path=xl/calcChain.xml><?xml version="1.0" encoding="utf-8"?>
<calcChain xmlns="http://schemas.openxmlformats.org/spreadsheetml/2006/main">
  <c r="G33" i="1" l="1"/>
  <c r="G32" i="1"/>
  <c r="E17" i="1" l="1"/>
  <c r="E100" i="1" l="1"/>
  <c r="E107" i="1"/>
  <c r="E101" i="1" l="1"/>
  <c r="E98" i="1"/>
  <c r="E89" i="1"/>
  <c r="E87" i="1"/>
  <c r="E105" i="1"/>
  <c r="F34" i="1"/>
  <c r="E69" i="1"/>
  <c r="G27" i="1" l="1"/>
  <c r="G29" i="1"/>
  <c r="F31" i="1"/>
  <c r="F30" i="1"/>
  <c r="F114" i="1" l="1"/>
  <c r="F41" i="1"/>
  <c r="F40" i="1"/>
  <c r="F39" i="1"/>
  <c r="F38" i="1"/>
  <c r="F37" i="1"/>
  <c r="F36" i="1"/>
  <c r="F35" i="1"/>
  <c r="F7" i="1"/>
  <c r="G104" i="1"/>
  <c r="E108" i="1" l="1"/>
  <c r="E96" i="1"/>
  <c r="E103" i="1"/>
  <c r="E97" i="1"/>
  <c r="E99" i="1"/>
  <c r="G83" i="1"/>
  <c r="G82" i="1"/>
  <c r="H101" i="1" s="1"/>
  <c r="G81" i="1"/>
  <c r="G80" i="1"/>
  <c r="E109" i="1"/>
  <c r="E67" i="1"/>
  <c r="J75" i="1"/>
  <c r="E70" i="1"/>
  <c r="J78" i="1"/>
  <c r="H78" i="1"/>
  <c r="J77" i="1"/>
  <c r="H77" i="1"/>
  <c r="E66" i="1"/>
  <c r="J74" i="1"/>
  <c r="H74" i="1"/>
  <c r="J76" i="1"/>
  <c r="H76" i="1"/>
  <c r="I76" i="1" s="1"/>
  <c r="J71" i="1"/>
  <c r="J17" i="1"/>
  <c r="E16" i="1"/>
  <c r="E102" i="1"/>
  <c r="E15" i="1"/>
  <c r="J114" i="1"/>
  <c r="H114" i="1"/>
  <c r="I114" i="1" s="1"/>
  <c r="J101" i="1"/>
  <c r="J102" i="1"/>
  <c r="H102" i="1"/>
  <c r="I102" i="1" s="1"/>
  <c r="J100" i="1"/>
  <c r="E78" i="1"/>
  <c r="I101" i="1" l="1"/>
  <c r="I74" i="1"/>
  <c r="K74" i="1" s="1"/>
  <c r="I78" i="1"/>
  <c r="K78" i="1" s="1"/>
  <c r="K102" i="1"/>
  <c r="K76" i="1"/>
  <c r="I77" i="1"/>
  <c r="K77" i="1" s="1"/>
  <c r="K101" i="1"/>
  <c r="K114" i="1"/>
  <c r="J85" i="1"/>
  <c r="J81" i="1"/>
  <c r="J79" i="1"/>
  <c r="G71" i="1"/>
  <c r="J112" i="1"/>
  <c r="H112" i="1"/>
  <c r="E65" i="1"/>
  <c r="F64" i="1"/>
  <c r="H17" i="1" s="1"/>
  <c r="I17" i="1" s="1"/>
  <c r="K17" i="1" s="1"/>
  <c r="J68" i="1"/>
  <c r="H68" i="1"/>
  <c r="I68" i="1" s="1"/>
  <c r="E62" i="1"/>
  <c r="E61" i="1"/>
  <c r="J65" i="1"/>
  <c r="J63" i="1"/>
  <c r="E60" i="1"/>
  <c r="J62" i="1"/>
  <c r="J111" i="1"/>
  <c r="H111" i="1"/>
  <c r="E53" i="1"/>
  <c r="J55" i="1"/>
  <c r="G52" i="1"/>
  <c r="E50" i="1"/>
  <c r="E48" i="1"/>
  <c r="J42" i="1"/>
  <c r="J41" i="1"/>
  <c r="E36" i="1"/>
  <c r="J35" i="1"/>
  <c r="J34" i="1"/>
  <c r="H34" i="1"/>
  <c r="I34" i="1" s="1"/>
  <c r="J33" i="1"/>
  <c r="J32" i="1"/>
  <c r="H32" i="1"/>
  <c r="I32" i="1" s="1"/>
  <c r="J31" i="1"/>
  <c r="H31" i="1"/>
  <c r="I31" i="1" s="1"/>
  <c r="J30" i="1"/>
  <c r="J27" i="1"/>
  <c r="E25" i="1"/>
  <c r="E24" i="1"/>
  <c r="E26" i="1"/>
  <c r="J24" i="1"/>
  <c r="H24" i="1"/>
  <c r="J25" i="1"/>
  <c r="H25" i="1"/>
  <c r="J109" i="1"/>
  <c r="E22" i="1"/>
  <c r="J21" i="1"/>
  <c r="H21" i="1"/>
  <c r="I21" i="1" s="1"/>
  <c r="H22" i="1"/>
  <c r="I22" i="1" s="1"/>
  <c r="J22" i="1"/>
  <c r="H79" i="1" l="1"/>
  <c r="I79" i="1" s="1"/>
  <c r="H71" i="1"/>
  <c r="I71" i="1" s="1"/>
  <c r="K71" i="1" s="1"/>
  <c r="I112" i="1"/>
  <c r="K112" i="1" s="1"/>
  <c r="H35" i="1"/>
  <c r="I35" i="1" s="1"/>
  <c r="K35" i="1" s="1"/>
  <c r="I111" i="1"/>
  <c r="K111" i="1" s="1"/>
  <c r="H81" i="1"/>
  <c r="I81" i="1" s="1"/>
  <c r="K81" i="1" s="1"/>
  <c r="K79" i="1"/>
  <c r="K68" i="1"/>
  <c r="K31" i="1"/>
  <c r="K34" i="1"/>
  <c r="I25" i="1"/>
  <c r="K25" i="1" s="1"/>
  <c r="K22" i="1"/>
  <c r="K21" i="1"/>
  <c r="K32" i="1"/>
  <c r="I24" i="1"/>
  <c r="K24" i="1" s="1"/>
  <c r="G28" i="1"/>
  <c r="H33" i="1" l="1"/>
  <c r="I33" i="1" s="1"/>
  <c r="K33" i="1" s="1"/>
  <c r="G109" i="1"/>
  <c r="H109" i="1" s="1"/>
  <c r="I109" i="1" s="1"/>
  <c r="K109" i="1" s="1"/>
  <c r="G100" i="1"/>
  <c r="G86" i="1"/>
  <c r="G85" i="1"/>
  <c r="G84" i="1"/>
  <c r="H27" i="1" s="1"/>
  <c r="I27" i="1" s="1"/>
  <c r="K27" i="1" s="1"/>
  <c r="G75" i="1"/>
  <c r="H83" i="1"/>
  <c r="I83" i="1" s="1"/>
  <c r="J83" i="1"/>
  <c r="G72" i="1"/>
  <c r="F62" i="1"/>
  <c r="H41" i="1" l="1"/>
  <c r="I41" i="1" s="1"/>
  <c r="K41" i="1" s="1"/>
  <c r="H75" i="1"/>
  <c r="I75" i="1" s="1"/>
  <c r="K75" i="1" s="1"/>
  <c r="H62" i="1"/>
  <c r="I62" i="1" s="1"/>
  <c r="K62" i="1" s="1"/>
  <c r="H30" i="1"/>
  <c r="I30" i="1" s="1"/>
  <c r="K30" i="1" s="1"/>
  <c r="H85" i="1"/>
  <c r="I85" i="1" s="1"/>
  <c r="K85" i="1" s="1"/>
  <c r="K83" i="1"/>
  <c r="G54" i="1"/>
  <c r="G55" i="1"/>
  <c r="H65" i="1" s="1"/>
  <c r="I65" i="1" s="1"/>
  <c r="K65" i="1" s="1"/>
  <c r="G53" i="1"/>
  <c r="G43" i="1"/>
  <c r="G44" i="1"/>
  <c r="G45" i="1"/>
  <c r="G46" i="1"/>
  <c r="G47" i="1"/>
  <c r="G48" i="1"/>
  <c r="G49" i="1"/>
  <c r="G50" i="1"/>
  <c r="G51" i="1"/>
  <c r="G42" i="1"/>
  <c r="H100" i="1"/>
  <c r="I100" i="1" s="1"/>
  <c r="K100" i="1" s="1"/>
  <c r="J15" i="1"/>
  <c r="H15" i="1"/>
  <c r="I15" i="1" s="1"/>
  <c r="H55" i="1" l="1"/>
  <c r="I55" i="1" s="1"/>
  <c r="K55" i="1" s="1"/>
  <c r="H42" i="1"/>
  <c r="I42" i="1" s="1"/>
  <c r="K42" i="1" s="1"/>
  <c r="K15" i="1"/>
  <c r="F23" i="1" l="1"/>
  <c r="H63" i="1" l="1"/>
  <c r="I63" i="1" s="1"/>
  <c r="K63" i="1" s="1"/>
  <c r="J113" i="1" l="1"/>
  <c r="H113" i="1"/>
  <c r="I113" i="1" s="1"/>
  <c r="K113" i="1" s="1"/>
  <c r="H28" i="1" l="1"/>
  <c r="I28" i="1" s="1"/>
  <c r="H26" i="1"/>
  <c r="I26" i="1" s="1"/>
  <c r="J84" i="1"/>
  <c r="H84" i="1"/>
  <c r="I84" i="1" s="1"/>
  <c r="J80" i="1"/>
  <c r="H80" i="1"/>
  <c r="I80" i="1" s="1"/>
  <c r="J73" i="1"/>
  <c r="H73" i="1"/>
  <c r="I73" i="1" s="1"/>
  <c r="J72" i="1"/>
  <c r="H72" i="1"/>
  <c r="I72" i="1" s="1"/>
  <c r="J70" i="1"/>
  <c r="H70" i="1"/>
  <c r="I70" i="1" s="1"/>
  <c r="J69" i="1"/>
  <c r="H69" i="1"/>
  <c r="I69" i="1" s="1"/>
  <c r="J67" i="1"/>
  <c r="H67" i="1"/>
  <c r="I67" i="1" s="1"/>
  <c r="J66" i="1"/>
  <c r="H66" i="1"/>
  <c r="I66" i="1" s="1"/>
  <c r="J64" i="1"/>
  <c r="H64" i="1"/>
  <c r="I64" i="1" s="1"/>
  <c r="J61" i="1"/>
  <c r="H61" i="1"/>
  <c r="I61" i="1" s="1"/>
  <c r="J60" i="1"/>
  <c r="H60" i="1"/>
  <c r="I60" i="1" s="1"/>
  <c r="J59" i="1"/>
  <c r="H59" i="1"/>
  <c r="I59" i="1" s="1"/>
  <c r="J58" i="1"/>
  <c r="H58" i="1"/>
  <c r="I58" i="1" s="1"/>
  <c r="J57" i="1"/>
  <c r="H57" i="1"/>
  <c r="I57" i="1" s="1"/>
  <c r="J56" i="1"/>
  <c r="H56" i="1"/>
  <c r="I56" i="1" s="1"/>
  <c r="J54" i="1"/>
  <c r="H54" i="1"/>
  <c r="I54" i="1" s="1"/>
  <c r="J53" i="1"/>
  <c r="H53" i="1"/>
  <c r="I53" i="1" s="1"/>
  <c r="J52" i="1"/>
  <c r="H52" i="1"/>
  <c r="I52" i="1" s="1"/>
  <c r="J51" i="1"/>
  <c r="H51" i="1"/>
  <c r="I51" i="1" s="1"/>
  <c r="J50" i="1"/>
  <c r="H50" i="1"/>
  <c r="I50" i="1" s="1"/>
  <c r="J49" i="1"/>
  <c r="H49" i="1"/>
  <c r="I49" i="1" s="1"/>
  <c r="J48" i="1"/>
  <c r="H48" i="1"/>
  <c r="I48" i="1" s="1"/>
  <c r="J47" i="1"/>
  <c r="H47" i="1"/>
  <c r="I47" i="1" s="1"/>
  <c r="J46" i="1"/>
  <c r="H46" i="1"/>
  <c r="I46" i="1" s="1"/>
  <c r="J45" i="1"/>
  <c r="H45" i="1"/>
  <c r="I45" i="1" s="1"/>
  <c r="J44" i="1"/>
  <c r="H44" i="1"/>
  <c r="I44" i="1" s="1"/>
  <c r="J43" i="1"/>
  <c r="H43" i="1"/>
  <c r="I43" i="1" s="1"/>
  <c r="J40" i="1"/>
  <c r="H40" i="1"/>
  <c r="I40" i="1" s="1"/>
  <c r="J39" i="1"/>
  <c r="H39" i="1"/>
  <c r="I39" i="1" s="1"/>
  <c r="J38" i="1"/>
  <c r="H38" i="1"/>
  <c r="I38" i="1" s="1"/>
  <c r="J37" i="1"/>
  <c r="H37" i="1"/>
  <c r="I37" i="1" s="1"/>
  <c r="J29" i="1"/>
  <c r="H29" i="1"/>
  <c r="I29" i="1" s="1"/>
  <c r="J28" i="1"/>
  <c r="J26" i="1"/>
  <c r="J23" i="1"/>
  <c r="H23" i="1"/>
  <c r="I23" i="1" s="1"/>
  <c r="J20" i="1"/>
  <c r="H20" i="1"/>
  <c r="I20" i="1" s="1"/>
  <c r="J19" i="1"/>
  <c r="H19" i="1"/>
  <c r="I19" i="1" s="1"/>
  <c r="J18" i="1"/>
  <c r="H18" i="1"/>
  <c r="I18" i="1" s="1"/>
  <c r="J94" i="1"/>
  <c r="H94" i="1"/>
  <c r="I94" i="1" s="1"/>
  <c r="J93" i="1"/>
  <c r="H93" i="1"/>
  <c r="I93" i="1" s="1"/>
  <c r="J92" i="1"/>
  <c r="H92" i="1"/>
  <c r="I92" i="1" s="1"/>
  <c r="J91" i="1"/>
  <c r="H91" i="1"/>
  <c r="I91" i="1" s="1"/>
  <c r="J90" i="1"/>
  <c r="H90" i="1"/>
  <c r="I90" i="1" s="1"/>
  <c r="J89" i="1"/>
  <c r="H89" i="1"/>
  <c r="I89" i="1" s="1"/>
  <c r="J88" i="1"/>
  <c r="H88" i="1"/>
  <c r="I88" i="1" s="1"/>
  <c r="J87" i="1"/>
  <c r="H87" i="1"/>
  <c r="I87" i="1" s="1"/>
  <c r="J86" i="1"/>
  <c r="H86" i="1"/>
  <c r="I86" i="1" s="1"/>
  <c r="J82" i="1"/>
  <c r="H82" i="1"/>
  <c r="I82" i="1" s="1"/>
  <c r="J36" i="1"/>
  <c r="H36" i="1"/>
  <c r="I36" i="1" s="1"/>
  <c r="J108" i="1"/>
  <c r="H108" i="1"/>
  <c r="I108" i="1" s="1"/>
  <c r="J107" i="1"/>
  <c r="H107" i="1"/>
  <c r="I107" i="1" s="1"/>
  <c r="J106" i="1"/>
  <c r="H106" i="1"/>
  <c r="I106" i="1" s="1"/>
  <c r="J105" i="1"/>
  <c r="H105" i="1"/>
  <c r="I105" i="1" s="1"/>
  <c r="J104" i="1"/>
  <c r="H104" i="1"/>
  <c r="I104" i="1" s="1"/>
  <c r="J103" i="1"/>
  <c r="H103" i="1"/>
  <c r="I103" i="1" s="1"/>
  <c r="J99" i="1"/>
  <c r="H99" i="1"/>
  <c r="I99" i="1" s="1"/>
  <c r="J98" i="1"/>
  <c r="H98" i="1"/>
  <c r="I98" i="1" s="1"/>
  <c r="J97" i="1"/>
  <c r="H97" i="1"/>
  <c r="I97" i="1" s="1"/>
  <c r="J96" i="1"/>
  <c r="H96" i="1"/>
  <c r="I96" i="1" s="1"/>
  <c r="J95" i="1"/>
  <c r="H95" i="1"/>
  <c r="I95" i="1" s="1"/>
  <c r="J110" i="1"/>
  <c r="H110" i="1"/>
  <c r="I110" i="1" s="1"/>
  <c r="J16" i="1"/>
  <c r="H16" i="1"/>
  <c r="I16" i="1" s="1"/>
  <c r="J14" i="1"/>
  <c r="H14" i="1"/>
  <c r="I14" i="1" s="1"/>
  <c r="K73" i="1" l="1"/>
  <c r="K16" i="1"/>
  <c r="K84" i="1"/>
  <c r="K80" i="1"/>
  <c r="K82" i="1"/>
  <c r="K28" i="1"/>
  <c r="K39" i="1"/>
  <c r="K43" i="1"/>
  <c r="K19" i="1"/>
  <c r="K40" i="1"/>
  <c r="K44" i="1"/>
  <c r="K48" i="1"/>
  <c r="K60" i="1"/>
  <c r="K37" i="1"/>
  <c r="K46" i="1"/>
  <c r="K49" i="1"/>
  <c r="K52" i="1"/>
  <c r="K54" i="1"/>
  <c r="K59" i="1"/>
  <c r="K64" i="1"/>
  <c r="K14" i="1"/>
  <c r="K67" i="1"/>
  <c r="K72" i="1"/>
  <c r="K69" i="1"/>
  <c r="K26" i="1"/>
  <c r="K47" i="1"/>
  <c r="K50" i="1"/>
  <c r="K58" i="1"/>
  <c r="K61" i="1"/>
  <c r="K38" i="1"/>
  <c r="K53" i="1"/>
  <c r="K56" i="1"/>
  <c r="K66" i="1"/>
  <c r="K70" i="1"/>
  <c r="K45" i="1"/>
  <c r="K51" i="1"/>
  <c r="K57" i="1"/>
  <c r="K87" i="1"/>
  <c r="K90" i="1"/>
  <c r="K20" i="1"/>
  <c r="K23" i="1"/>
  <c r="K99" i="1"/>
  <c r="K29" i="1"/>
  <c r="K98" i="1"/>
  <c r="K103" i="1"/>
  <c r="K18" i="1"/>
  <c r="K86" i="1"/>
  <c r="K89" i="1"/>
  <c r="K95" i="1"/>
  <c r="K106" i="1"/>
  <c r="K92" i="1"/>
  <c r="K94" i="1"/>
  <c r="K93" i="1"/>
  <c r="K97" i="1"/>
  <c r="K88" i="1"/>
  <c r="K96" i="1"/>
  <c r="K105" i="1"/>
  <c r="K108" i="1"/>
  <c r="K36" i="1"/>
  <c r="K91" i="1"/>
  <c r="K104" i="1"/>
  <c r="K107" i="1"/>
  <c r="K110" i="1"/>
  <c r="J12" i="1" l="1"/>
  <c r="J11" i="1"/>
  <c r="J9" i="1"/>
  <c r="J7" i="1"/>
  <c r="J8" i="1"/>
  <c r="H8" i="1"/>
  <c r="I8" i="1" s="1"/>
  <c r="K8" i="1" l="1"/>
  <c r="H11" i="1"/>
  <c r="I11" i="1" s="1"/>
  <c r="H7" i="1"/>
  <c r="I7" i="1" s="1"/>
  <c r="K11" i="1" l="1"/>
  <c r="H12" i="1"/>
  <c r="I12" i="1" s="1"/>
  <c r="K12" i="1" s="1"/>
  <c r="K7" i="1"/>
  <c r="H9" i="1"/>
  <c r="I9" i="1" s="1"/>
  <c r="K9" i="1" s="1"/>
  <c r="K6" i="1" l="1"/>
  <c r="I10" i="1"/>
  <c r="K10" i="1"/>
  <c r="I6" i="1"/>
  <c r="K13" i="1" l="1"/>
  <c r="K118" i="1" s="1"/>
  <c r="I13" i="1"/>
  <c r="L78" i="1" l="1"/>
  <c r="L75" i="1"/>
  <c r="L74" i="1"/>
  <c r="L77" i="1"/>
  <c r="L71" i="1"/>
  <c r="L76" i="1"/>
  <c r="L17" i="1"/>
  <c r="L114" i="1"/>
  <c r="L101" i="1"/>
  <c r="L100" i="1"/>
  <c r="L102" i="1"/>
  <c r="L85" i="1"/>
  <c r="L79" i="1"/>
  <c r="L81" i="1"/>
  <c r="L112" i="1"/>
  <c r="L65" i="1"/>
  <c r="L68" i="1"/>
  <c r="L62" i="1"/>
  <c r="L63" i="1"/>
  <c r="L55" i="1"/>
  <c r="L111" i="1"/>
  <c r="L41" i="1"/>
  <c r="L42" i="1"/>
  <c r="L34" i="1"/>
  <c r="L35" i="1"/>
  <c r="L32" i="1"/>
  <c r="L33" i="1"/>
  <c r="L30" i="1"/>
  <c r="L31" i="1"/>
  <c r="L24" i="1"/>
  <c r="L27" i="1"/>
  <c r="L109" i="1"/>
  <c r="L25" i="1"/>
  <c r="L22" i="1"/>
  <c r="L21" i="1"/>
  <c r="L83" i="1"/>
  <c r="L36" i="1"/>
  <c r="L15" i="1"/>
  <c r="L91" i="1"/>
  <c r="L95" i="1"/>
  <c r="L52" i="1"/>
  <c r="L20" i="1"/>
  <c r="L93" i="1"/>
  <c r="L94" i="1"/>
  <c r="L73" i="1"/>
  <c r="L86" i="1"/>
  <c r="L105" i="1"/>
  <c r="L66" i="1"/>
  <c r="L96" i="1"/>
  <c r="L8" i="1"/>
  <c r="L80" i="1"/>
  <c r="L11" i="1"/>
  <c r="L82" i="1"/>
  <c r="L72" i="1"/>
  <c r="L113" i="1"/>
  <c r="L110" i="1"/>
  <c r="L99" i="1"/>
  <c r="L26" i="1"/>
  <c r="L51" i="1"/>
  <c r="L90" i="1"/>
  <c r="L61" i="1"/>
  <c r="L69" i="1"/>
  <c r="L89" i="1"/>
  <c r="L48" i="1"/>
  <c r="L97" i="1"/>
  <c r="L50" i="1"/>
  <c r="L12" i="1"/>
  <c r="L53" i="1"/>
  <c r="L88" i="1"/>
  <c r="L58" i="1"/>
  <c r="L18" i="1"/>
  <c r="L54" i="1"/>
  <c r="L106" i="1"/>
  <c r="L47" i="1"/>
  <c r="L19" i="1"/>
  <c r="L64" i="1"/>
  <c r="L43" i="1"/>
  <c r="L49" i="1"/>
  <c r="L107" i="1"/>
  <c r="L37" i="1"/>
  <c r="L60" i="1"/>
  <c r="L56" i="1"/>
  <c r="L45" i="1"/>
  <c r="L38" i="1"/>
  <c r="L103" i="1"/>
  <c r="L44" i="1"/>
  <c r="L98" i="1"/>
  <c r="L7" i="1"/>
  <c r="L14" i="1"/>
  <c r="L16" i="1"/>
  <c r="L104" i="1"/>
  <c r="L84" i="1"/>
  <c r="L59" i="1"/>
  <c r="L46" i="1"/>
  <c r="L23" i="1"/>
  <c r="L39" i="1"/>
  <c r="L92" i="1"/>
  <c r="L28" i="1"/>
  <c r="L67" i="1"/>
  <c r="L9" i="1"/>
  <c r="L29" i="1"/>
  <c r="L108" i="1"/>
  <c r="L70" i="1"/>
  <c r="L57" i="1"/>
  <c r="L87" i="1"/>
  <c r="L40" i="1"/>
  <c r="L6" i="1" l="1"/>
  <c r="L13" i="1"/>
  <c r="L10" i="1"/>
  <c r="L118" i="1" l="1"/>
</calcChain>
</file>

<file path=xl/sharedStrings.xml><?xml version="1.0" encoding="utf-8"?>
<sst xmlns="http://schemas.openxmlformats.org/spreadsheetml/2006/main" count="941" uniqueCount="472">
  <si>
    <t>m</t>
  </si>
  <si>
    <t>un</t>
  </si>
  <si>
    <t>SERVIÇOS INICIAIS</t>
  </si>
  <si>
    <t>BDI</t>
  </si>
  <si>
    <t>ITEM</t>
  </si>
  <si>
    <t>DISCRIMINAÇÃO</t>
  </si>
  <si>
    <t>PREÇO UNITÁRIO</t>
  </si>
  <si>
    <t>MATERIAL</t>
  </si>
  <si>
    <t>MÃO-DE-OBRA</t>
  </si>
  <si>
    <t>TOTAL</t>
  </si>
  <si>
    <t>PREÇO TOTAL</t>
  </si>
  <si>
    <t>PREÇO TOTAL COM BDI</t>
  </si>
  <si>
    <t>% ITEM</t>
  </si>
  <si>
    <t>TOTAL DA OBRA COM BDI</t>
  </si>
  <si>
    <t>Proprietário</t>
  </si>
  <si>
    <t>1.1</t>
  </si>
  <si>
    <t>1.2</t>
  </si>
  <si>
    <t>m²</t>
  </si>
  <si>
    <t>kg</t>
  </si>
  <si>
    <t>Placa de obra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</si>
  <si>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</si>
  <si>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mês</t>
  </si>
  <si>
    <t>QUANT.</t>
  </si>
  <si>
    <t>1.3</t>
  </si>
  <si>
    <t>BDI =</t>
  </si>
  <si>
    <t>CLAUDIO FERRONATO
Eng° Eletricista</t>
  </si>
  <si>
    <t>Cabo de cu nu meio duro 07 fios 25 mm²</t>
  </si>
  <si>
    <t>Cinta circular D 240mm</t>
  </si>
  <si>
    <t>REF.</t>
  </si>
  <si>
    <t>INSTALAÇÕES</t>
  </si>
  <si>
    <t>ADMINISTRAÇÃO DA OBRA</t>
  </si>
  <si>
    <t>Anotação de Responsabilidade Técnica (ART) de execução</t>
  </si>
  <si>
    <t>mercado</t>
  </si>
  <si>
    <t>Aluguel sanitário quimico</t>
  </si>
  <si>
    <t>SINAPI 91677</t>
  </si>
  <si>
    <t>CREASC</t>
  </si>
  <si>
    <t>SINAPI 00020111</t>
  </si>
  <si>
    <t>SINAPI 00000404</t>
  </si>
  <si>
    <t>Fita auto-fusão (rolo 5 m)</t>
  </si>
  <si>
    <t>SINAPI 96985</t>
  </si>
  <si>
    <t>SINAPI 93208</t>
  </si>
  <si>
    <t>Execução de almoxarifado em canteiro de obra em chapa de madeira compensada</t>
  </si>
  <si>
    <t>SINAPI 74209/001</t>
  </si>
  <si>
    <t>h</t>
  </si>
  <si>
    <t>SINAPI 96972</t>
  </si>
  <si>
    <t>2.1</t>
  </si>
  <si>
    <t>2.2</t>
  </si>
  <si>
    <t>3.5</t>
  </si>
  <si>
    <t>3.29</t>
  </si>
  <si>
    <t>3.30</t>
  </si>
  <si>
    <t>3.33</t>
  </si>
  <si>
    <t>Haste de terra D13mm 2,400mm</t>
  </si>
  <si>
    <t>Arruela quad. D18x38x38x3mm</t>
  </si>
  <si>
    <t>Braço de aço galvanizado a fogo ip d49x3000mm</t>
  </si>
  <si>
    <t>Conector de perfuração 25/95-2,5/08</t>
  </si>
  <si>
    <t>Conector de perfuração 25/95-25/95</t>
  </si>
  <si>
    <t>Conector de perfuração 50/150-6/35</t>
  </si>
  <si>
    <t xml:space="preserve">Fita plástica </t>
  </si>
  <si>
    <t>Olhal 5000dan</t>
  </si>
  <si>
    <t>Sapatilha p/ cabo de aço</t>
  </si>
  <si>
    <t>Reinstalação de armação secundária 1 estribo</t>
  </si>
  <si>
    <t>Cinta circular D 200mm</t>
  </si>
  <si>
    <t>Cinta circular D 210mm</t>
  </si>
  <si>
    <t>Cinta circular D 220mm</t>
  </si>
  <si>
    <t>Alça pre-formada dist. Ca/caa 2 awg</t>
  </si>
  <si>
    <t>Alça pre-formada dist. Ca/caa 1/0 awg</t>
  </si>
  <si>
    <t>Alça pre-formada dist. Ca/caa 4 awg</t>
  </si>
  <si>
    <t>Fonte:</t>
  </si>
  <si>
    <t>3.1</t>
  </si>
  <si>
    <t>3.2</t>
  </si>
  <si>
    <t>3.6</t>
  </si>
  <si>
    <t>3.7</t>
  </si>
  <si>
    <t>3.8</t>
  </si>
  <si>
    <t>3.9</t>
  </si>
  <si>
    <t>3.10</t>
  </si>
  <si>
    <t>3.11</t>
  </si>
  <si>
    <t>3.12</t>
  </si>
  <si>
    <t>3.13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</si>
  <si>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</si>
  <si>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</si>
  <si>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</si>
  <si>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</si>
  <si>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</si>
  <si>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</si>
  <si>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</si>
  <si>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</si>
  <si>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</si>
  <si>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</si>
  <si>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</si>
  <si>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</si>
  <si>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</si>
  <si>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3.31</t>
  </si>
  <si>
    <t>3.32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</si>
  <si>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</si>
  <si>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</si>
  <si>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</si>
  <si>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</si>
  <si>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</si>
  <si>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</si>
  <si>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</si>
  <si>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</si>
  <si>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</si>
  <si>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</si>
  <si>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</si>
  <si>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</si>
  <si>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</si>
  <si>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</si>
  <si>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</si>
  <si>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</si>
  <si>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</si>
  <si>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</si>
  <si>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</si>
  <si>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</si>
  <si>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</si>
  <si>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</si>
  <si>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</si>
  <si>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</si>
  <si>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</si>
  <si>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</si>
  <si>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</si>
  <si>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</si>
  <si>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</si>
  <si>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</si>
  <si>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</si>
  <si>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</si>
  <si>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</si>
  <si>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3.69</t>
  </si>
  <si>
    <t>3.70</t>
  </si>
  <si>
    <t>3.71</t>
  </si>
  <si>
    <t>3.72</t>
  </si>
  <si>
    <t>3.73</t>
  </si>
  <si>
    <t>3.74</t>
  </si>
  <si>
    <t>3.79</t>
  </si>
  <si>
    <t>3.89</t>
  </si>
  <si>
    <t>ESTACA</t>
  </si>
  <si>
    <t>RAIZ,</t>
  </si>
  <si>
    <t>DIÂMETRO</t>
  </si>
  <si>
    <t>DE</t>
  </si>
  <si>
    <t>CM,</t>
  </si>
  <si>
    <t>COMPRIMENTO</t>
  </si>
  <si>
    <t>ATÉ</t>
  </si>
  <si>
    <t>M,</t>
  </si>
  <si>
    <t>COM</t>
  </si>
  <si>
    <t>PRESENÇA</t>
  </si>
  <si>
    <t>R</t>
  </si>
  <si>
    <t>M</t>
  </si>
  <si>
    <t>OCHA.</t>
  </si>
  <si>
    <t>AF_05/2017</t>
  </si>
  <si>
    <t>C</t>
  </si>
  <si>
    <t>COMPRESSOR</t>
  </si>
  <si>
    <t>AR</t>
  </si>
  <si>
    <t>REBOCÁVEL,</t>
  </si>
  <si>
    <t>VAZÃO</t>
  </si>
  <si>
    <t>PCM,</t>
  </si>
  <si>
    <t>PRESSÃO</t>
  </si>
  <si>
    <t>EFETIVA</t>
  </si>
  <si>
    <t>TRABALHO</t>
  </si>
  <si>
    <t>CHP</t>
  </si>
  <si>
    <t>AS</t>
  </si>
  <si>
    <t>PSI,</t>
  </si>
  <si>
    <t>MOTOR</t>
  </si>
  <si>
    <t>DIESEL,</t>
  </si>
  <si>
    <t>POTÊNCIA</t>
  </si>
  <si>
    <t>CV</t>
  </si>
  <si>
    <t>-</t>
  </si>
  <si>
    <t>DIURNO.</t>
  </si>
  <si>
    <t>AF_06/2015</t>
  </si>
  <si>
    <t>CHI</t>
  </si>
  <si>
    <t>I</t>
  </si>
  <si>
    <t>TUBO</t>
  </si>
  <si>
    <t>PVC,</t>
  </si>
  <si>
    <t>SOLDAVEL,</t>
  </si>
  <si>
    <t>DN</t>
  </si>
  <si>
    <t>MM,</t>
  </si>
  <si>
    <t>PARA</t>
  </si>
  <si>
    <t>AGUA</t>
  </si>
  <si>
    <t>FRIA</t>
  </si>
  <si>
    <t>(NBR-5648)</t>
  </si>
  <si>
    <t>CR</t>
  </si>
  <si>
    <t>TARIFA</t>
  </si>
  <si>
    <t>A</t>
  </si>
  <si>
    <t>ENTRE</t>
  </si>
  <si>
    <t>E</t>
  </si>
  <si>
    <t>20M3</t>
  </si>
  <si>
    <t>FORNECIMENTO</t>
  </si>
  <si>
    <t>D'AGUA</t>
  </si>
  <si>
    <t>M3</t>
  </si>
  <si>
    <t>REVESTIMENTO,</t>
  </si>
  <si>
    <t>EM</t>
  </si>
  <si>
    <t>ACO,</t>
  </si>
  <si>
    <t>CORPO</t>
  </si>
  <si>
    <t>SCHEDULE</t>
  </si>
  <si>
    <t>PONTEIRA</t>
  </si>
  <si>
    <t>ROS</t>
  </si>
  <si>
    <t>QUEAVEL</t>
  </si>
  <si>
    <t>SEGMENTADO</t>
  </si>
  <si>
    <t>PERFURACAO,</t>
  </si>
  <si>
    <t>DIAMETRO</t>
  </si>
  <si>
    <t>10''</t>
  </si>
  <si>
    <t>(310</t>
  </si>
  <si>
    <t>MM)</t>
  </si>
  <si>
    <t>(COLETADO</t>
  </si>
  <si>
    <t>CA</t>
  </si>
  <si>
    <t>IXA)</t>
  </si>
  <si>
    <t>SERVENTE</t>
  </si>
  <si>
    <t>ENCARGOS</t>
  </si>
  <si>
    <t>COMPLEMENTARES</t>
  </si>
  <si>
    <t>H</t>
  </si>
  <si>
    <t>SINAPI</t>
  </si>
  <si>
    <t>SISTEMA</t>
  </si>
  <si>
    <t>NACIONAL</t>
  </si>
  <si>
    <t>PESQUISA</t>
  </si>
  <si>
    <t>CUSTOS</t>
  </si>
  <si>
    <t>ÍNDICES</t>
  </si>
  <si>
    <t>DA</t>
  </si>
  <si>
    <t>CONSTRUÇÃO</t>
  </si>
  <si>
    <t>CIVIL</t>
  </si>
  <si>
    <t>de</t>
  </si>
  <si>
    <t>PCI.818.01</t>
  </si>
  <si>
    <t>COMPOSIÇÕES</t>
  </si>
  <si>
    <t>ANALÍTICO</t>
  </si>
  <si>
    <t>DATA</t>
  </si>
  <si>
    <t>EMISSÃO:13/06/2019</t>
  </si>
  <si>
    <t>SOCIAIS</t>
  </si>
  <si>
    <t>SOBRE</t>
  </si>
  <si>
    <t>PREÇOS</t>
  </si>
  <si>
    <t>MÃO-DE-OBRA:</t>
  </si>
  <si>
    <t>114,03%(HORA)</t>
  </si>
  <si>
    <t>71,88%(MÊS)</t>
  </si>
  <si>
    <t>ABRANGENCIA:</t>
  </si>
  <si>
    <t>REFERENCIA</t>
  </si>
  <si>
    <t>TECNICA:</t>
  </si>
  <si>
    <t>VÍNCULO</t>
  </si>
  <si>
    <t>:</t>
  </si>
  <si>
    <t>CAIXA</t>
  </si>
  <si>
    <t>REFERENCIAL</t>
  </si>
  <si>
    <t>BOMBA</t>
  </si>
  <si>
    <t>TRIPLEX,</t>
  </si>
  <si>
    <t>INJEÇÃO</t>
  </si>
  <si>
    <t>NATA</t>
  </si>
  <si>
    <t>CIMENTO,</t>
  </si>
  <si>
    <t>MÁXIMA</t>
  </si>
  <si>
    <t>LITROS</t>
  </si>
  <si>
    <t>/MINUTO,</t>
  </si>
  <si>
    <t>BAR</t>
  </si>
  <si>
    <t>CENTRÍFUGA</t>
  </si>
  <si>
    <t>MONOESTÁGIO</t>
  </si>
  <si>
    <t>ELÉTRICO</t>
  </si>
  <si>
    <t>MONOFÁSICO,</t>
  </si>
  <si>
    <t>HP</t>
  </si>
  <si>
    <t>,</t>
  </si>
  <si>
    <t>DO</t>
  </si>
  <si>
    <t>ROTOR</t>
  </si>
  <si>
    <t>HM/Q</t>
  </si>
  <si>
    <t>=</t>
  </si>
  <si>
    <t>MCA</t>
  </si>
  <si>
    <t>/</t>
  </si>
  <si>
    <t>M3/H</t>
  </si>
  <si>
    <t>HI</t>
  </si>
  <si>
    <t>ARGAMASSA</t>
  </si>
  <si>
    <t>TRAÇO</t>
  </si>
  <si>
    <t>(CIMENTO</t>
  </si>
  <si>
    <t>AREIA</t>
  </si>
  <si>
    <t>MÉDIA),</t>
  </si>
  <si>
    <t>FCK</t>
  </si>
  <si>
    <t>MPA,</t>
  </si>
  <si>
    <t>PREPARO</t>
  </si>
  <si>
    <t>MECÂNI</t>
  </si>
  <si>
    <t>CO</t>
  </si>
  <si>
    <t>MISTURADOR</t>
  </si>
  <si>
    <t>DUPLO</t>
  </si>
  <si>
    <t>HORIZONTAL</t>
  </si>
  <si>
    <t>ALTA</t>
  </si>
  <si>
    <t>TURBULÊNCIA.</t>
  </si>
  <si>
    <t>AF_11/2016</t>
  </si>
  <si>
    <t>MONTAGEM</t>
  </si>
  <si>
    <t>ARMADURA</t>
  </si>
  <si>
    <t>LONGITUDINAL</t>
  </si>
  <si>
    <t>ESTACAS</t>
  </si>
  <si>
    <t>SEÇÃO</t>
  </si>
  <si>
    <t>CIRCULAR,</t>
  </si>
  <si>
    <t>KG</t>
  </si>
  <si>
    <t>MM.</t>
  </si>
  <si>
    <t>TRANSVERSAL</t>
  </si>
  <si>
    <t>SERVIÇOS</t>
  </si>
  <si>
    <t>TÉCNICOS</t>
  </si>
  <si>
    <t>ESPECIALIZADOS</t>
  </si>
  <si>
    <t>ACOMPANHAMENTO</t>
  </si>
  <si>
    <t>EXECUÇÃO</t>
  </si>
  <si>
    <t>FUNDAÇ</t>
  </si>
  <si>
    <t>ÕES</t>
  </si>
  <si>
    <t>PROFUNDAS</t>
  </si>
  <si>
    <t>ESTRUTURAS</t>
  </si>
  <si>
    <t>CONTENÇÃO</t>
  </si>
  <si>
    <t>PERFURATRIZ</t>
  </si>
  <si>
    <t>ROTATIVA</t>
  </si>
  <si>
    <t>ESTEIRA,</t>
  </si>
  <si>
    <t>TORQUE</t>
  </si>
  <si>
    <t>MAXIMO</t>
  </si>
  <si>
    <t>KGM,</t>
  </si>
  <si>
    <t>POTENCIA</t>
  </si>
  <si>
    <t>P,</t>
  </si>
  <si>
    <t>DIESEL</t>
  </si>
  <si>
    <t>DIESEL-</t>
  </si>
  <si>
    <t>AR,</t>
  </si>
  <si>
    <t>VAZAO</t>
  </si>
  <si>
    <t>RESERVATORIO</t>
  </si>
  <si>
    <t>L,</t>
  </si>
  <si>
    <t>PRESSAO</t>
  </si>
  <si>
    <t>HP,</t>
  </si>
  <si>
    <t>TENSAO</t>
  </si>
  <si>
    <t>110/220</t>
  </si>
  <si>
    <t>V</t>
  </si>
  <si>
    <t>AF_05/</t>
  </si>
  <si>
    <t>BAR,</t>
  </si>
  <si>
    <t>EQUIPAMENTO</t>
  </si>
  <si>
    <t>%</t>
  </si>
  <si>
    <t>MAO</t>
  </si>
  <si>
    <t>OBRA</t>
  </si>
  <si>
    <t>OUTROS</t>
  </si>
  <si>
    <t>COMPOSIÇÃO</t>
  </si>
  <si>
    <t>ORIGEM</t>
  </si>
  <si>
    <t>PREÇO:</t>
  </si>
  <si>
    <t>CELESC 300008</t>
  </si>
  <si>
    <t>USC</t>
  </si>
  <si>
    <t>mercado + SINAPI 73767/2</t>
  </si>
  <si>
    <t>mercado + CELESC 300318</t>
  </si>
  <si>
    <t>mercado + CELESC 300319</t>
  </si>
  <si>
    <t>Conector cunha 1/0x1/0 (cartucho incluso)</t>
  </si>
  <si>
    <t>Conector cunha 1/0x2 (cartucho incluso)</t>
  </si>
  <si>
    <t>Conector cunha 1/0x4 (cartucho incluso)</t>
  </si>
  <si>
    <t>Conector cunha 2x2 (cartucho incluso)</t>
  </si>
  <si>
    <t>Conector cunha 2x4 (cartucho incluso)</t>
  </si>
  <si>
    <t>Conector cunha 4x4 (cartucho incluso)</t>
  </si>
  <si>
    <t>Conector cunha para aterramento 25 a 35mm (cartucho incluso)</t>
  </si>
  <si>
    <t>Conector cunha tipo A (cartucho incluso)</t>
  </si>
  <si>
    <t>Conector cunha tipo B (cartucho incluso)</t>
  </si>
  <si>
    <t>Conector cunha tipo I (cartucho incluso)</t>
  </si>
  <si>
    <t>mercado + SINAPI 73767/1</t>
  </si>
  <si>
    <t>Fio de cobre isol. 750v 2,5mm²</t>
  </si>
  <si>
    <t>SINAPI 91926</t>
  </si>
  <si>
    <t>mercado + CELESC 300359</t>
  </si>
  <si>
    <t>Parafuso cabeça quadrada D16x250x170mm com porca</t>
  </si>
  <si>
    <t>Parafuso cabeça quadrada D16x300x220mm com porca</t>
  </si>
  <si>
    <t>Parafuso cabeça quadrada D16x350x270mm com porca</t>
  </si>
  <si>
    <t>mercado + CELESC 300247</t>
  </si>
  <si>
    <t>Poste de concreto circular 10m 300daN</t>
  </si>
  <si>
    <t>Poste de concreto duplo T 10m 300daN</t>
  </si>
  <si>
    <t>CELESC 300291</t>
  </si>
  <si>
    <t>CELESC 300582</t>
  </si>
  <si>
    <t>CELESC 300619</t>
  </si>
  <si>
    <t>CELESC 300610</t>
  </si>
  <si>
    <t>CELESC 300667</t>
  </si>
  <si>
    <t>SINAPI 00007581</t>
  </si>
  <si>
    <t>mercado + CELESC 300372</t>
  </si>
  <si>
    <t>Engenheiro Eletricista com encargos complementares - 40 horas/mês - 2 meses</t>
  </si>
  <si>
    <t>3.3</t>
  </si>
  <si>
    <t>3.14</t>
  </si>
  <si>
    <t>3.43</t>
  </si>
  <si>
    <t>3.68</t>
  </si>
  <si>
    <t>CLAUDIO FERRONATO</t>
  </si>
  <si>
    <t>Eng.º Eletricista</t>
  </si>
  <si>
    <t>mercado + CELESC 300405</t>
  </si>
  <si>
    <t>mercado + SINAPI ... = valor mercado (material) e referência SINAPI (mão de obra)</t>
  </si>
  <si>
    <t>mercado + CELESC ... = valor mercado (material) e referência CELESC (mão de obra)</t>
  </si>
  <si>
    <t>SINAPI + CELESC = referência  SINAPI (material) e referência da CELESC (mão de obra)</t>
  </si>
  <si>
    <t xml:space="preserve">CELESC - USC (Unidade de Serviço da Construção) = </t>
  </si>
  <si>
    <t>PREFEITURA MUNICIPAL DE CORDILHEIRA ALTA
CORDILHEIRA ALTA -SC
ORÇAMENTO ANALÍTICO
ILUMINAÇÃO PÚBLICA</t>
  </si>
  <si>
    <t>agosto/2019</t>
  </si>
  <si>
    <t>Anel de amarração</t>
  </si>
  <si>
    <t>Cabo de cobre isolado 750v 10mm²</t>
  </si>
  <si>
    <t>Cabo de cobre isolado 750v 2,5mm²</t>
  </si>
  <si>
    <t>Cabo multiplexado 1x1x10+10mm² isol. XLPE 01kv</t>
  </si>
  <si>
    <t>Cabo multiplexado 3x1x16+16mm² isol. XLPE 01kv</t>
  </si>
  <si>
    <t>Cabo multiplexado 3x1x50+35mm² isol. XLPE 01kv</t>
  </si>
  <si>
    <t>Chave magnética 1Fx32Ax220V</t>
  </si>
  <si>
    <t>Chave magnética 2Fx32Ax220V</t>
  </si>
  <si>
    <t>Chumbador 500x500mm</t>
  </si>
  <si>
    <t>Cinta circular D 190mm</t>
  </si>
  <si>
    <t>Cinta circular D 260mm</t>
  </si>
  <si>
    <t>Cinta circular D 280mm</t>
  </si>
  <si>
    <t>Conector cunha tipo II (cartucho incluso)</t>
  </si>
  <si>
    <t>Conjunto grampo suspensão cabo multiplexado</t>
  </si>
  <si>
    <t>Curva de aço 90º 2"</t>
  </si>
  <si>
    <t>Eletroduto corrugado PEAD de 63mm, dim. 49mm (2”)</t>
  </si>
  <si>
    <t>Fio de alumínio recozido 4 AWG</t>
  </si>
  <si>
    <t>Fita de alumínio proteção 1x10mm</t>
  </si>
  <si>
    <t>rolo</t>
  </si>
  <si>
    <t>Retirada de isolador roldana</t>
  </si>
  <si>
    <t>Luva de aço galvanizado 2"</t>
  </si>
  <si>
    <t>Luva união PEAD Canaflex 2"</t>
  </si>
  <si>
    <t>Para-raios distribuição 10kA 280V</t>
  </si>
  <si>
    <t>Parafuso cabeça abaulada D16x70x35mm com porca</t>
  </si>
  <si>
    <t>Poste aço curvo duplo galvanizado a fogo base chumbada 9m</t>
  </si>
  <si>
    <t>Poste aço curvo simples galvanizado a fogo base chumbada 9m</t>
  </si>
  <si>
    <t>Poste aço curvo simples galvanizado a fogo base chumbada 6m</t>
  </si>
  <si>
    <t>Tampa ferro fundido 90x70mm</t>
  </si>
  <si>
    <t>Terminal sapata para cabo 10mm²</t>
  </si>
  <si>
    <t>Tubo de aço galvanizado D=2” barra 06m</t>
  </si>
  <si>
    <t>Aberura de cava em rocha (compressor + explosivo) - 11 unid.</t>
  </si>
  <si>
    <t>Aberura de cava em rocha (compressor) - 4 unid.</t>
  </si>
  <si>
    <r>
      <t xml:space="preserve">Abertura de cava em terreno normal </t>
    </r>
    <r>
      <rPr>
        <sz val="10"/>
        <rFont val="Calibri"/>
        <family val="2"/>
      </rPr>
      <t>- 1 unid.</t>
    </r>
  </si>
  <si>
    <t>Caixa de passagem tipo "C" (1,00X0,60X0,60m)</t>
  </si>
  <si>
    <t>Caixa de passagem tipo "A" (0,80X0,50X0,40m c/ tampa de concreto)</t>
  </si>
  <si>
    <t>CELESC 300384</t>
  </si>
  <si>
    <t>Fita adesiva isolante (rolo 20m)</t>
  </si>
  <si>
    <t>Lançamento circuito BT (1, 2, 3 ou 4 condutores) - 800 m</t>
  </si>
  <si>
    <t>CELESC 300406</t>
  </si>
  <si>
    <t>Lançamento condutor multiplexado 50mm² (km) - 0,12km</t>
  </si>
  <si>
    <t>CELESC 300372</t>
  </si>
  <si>
    <t>Retirada de transformador trifásico - 1 un</t>
  </si>
  <si>
    <t>Instalação de transformador trifásico - 1 un</t>
  </si>
  <si>
    <t>Instalação de poste menor 12m com guindauto - 16 un</t>
  </si>
  <si>
    <t>Instalação de armação - 14 un</t>
  </si>
  <si>
    <t>Retirada de I. P. comum - 13 un</t>
  </si>
  <si>
    <t>Retirada de cabo 4 CA/CAA - 1,45 km</t>
  </si>
  <si>
    <t>Retirada de armação secundária 1 estribo - 54 un</t>
  </si>
  <si>
    <t>Retirada de I. P. especial - 106 un</t>
  </si>
  <si>
    <t>Adaptação aéreo-subterrânea - 6 un</t>
  </si>
  <si>
    <t>Retirada de luminária 3 pétalas - 9 un</t>
  </si>
  <si>
    <t>Retirada de poste com guindauto (maior 15m) - 9 un</t>
  </si>
  <si>
    <t>Retensionamento de condutor - 1,2 km</t>
  </si>
  <si>
    <t>CELESC  300658</t>
  </si>
  <si>
    <t>Retirada de poste com guindauto (menor 12m) - 11 un</t>
  </si>
  <si>
    <t>CELESC 300361</t>
  </si>
  <si>
    <t>CELESC 300649</t>
  </si>
  <si>
    <t>Tabela SINAPI junho/2019 desonerado</t>
  </si>
  <si>
    <t>SINAPI 00012327 proporcional</t>
  </si>
  <si>
    <t>SINAPI 00001574</t>
  </si>
  <si>
    <t>SINAPI 00021013</t>
  </si>
  <si>
    <t>SINAPI 91932</t>
  </si>
  <si>
    <t>SINAPI 97889</t>
  </si>
  <si>
    <t>SINAPI 97890</t>
  </si>
  <si>
    <t>mercado + CELESC 300406</t>
  </si>
  <si>
    <t>SINAPI 00002631</t>
  </si>
  <si>
    <t>SINAPI 73798/1</t>
  </si>
  <si>
    <t>CELESC 300405</t>
  </si>
  <si>
    <t>SINAPI 2643</t>
  </si>
  <si>
    <t>SINAPI 2668</t>
  </si>
  <si>
    <t>mercado + CELESC 300368</t>
  </si>
  <si>
    <t>SINAPI 39746</t>
  </si>
  <si>
    <t>SINAPI 407</t>
  </si>
  <si>
    <t>SINAPI 14163 + CELESC 300372</t>
  </si>
  <si>
    <t>SINAPI 5052 + CELESC 300372</t>
  </si>
  <si>
    <t>SINAPI 14162 + CELESC 300372</t>
  </si>
  <si>
    <t>CELESC 300358</t>
  </si>
  <si>
    <t>Reinstalação braço de aço galvanizado a fogo IP D49x3000mm - 106 un</t>
  </si>
  <si>
    <t>CELESC 300345</t>
  </si>
  <si>
    <t>Reinstalação de cruzeta de concreto 90x112.5x2300mm - 1 un</t>
  </si>
  <si>
    <t>Reinstalação de isolador roldana - 12 un</t>
  </si>
  <si>
    <t>Reinstalação de poste de concreto duplo T 10m 150daN - 5 un</t>
  </si>
  <si>
    <t>Reinstalação de poste de concreto duplo T 10m 300daN - 3 un</t>
  </si>
  <si>
    <t>Reinstalação de poste de concreto duplo T 11m 300daN - 1 un</t>
  </si>
  <si>
    <t>Reinstalação de poste de concreto duplo T 9m 150daN - 1 un</t>
  </si>
  <si>
    <t>Reinstalação de poste de concreto duplo T 9m 300daN - 1 un</t>
  </si>
  <si>
    <t>Reinstalação de transformador trifásico 112,5kVA 23,1kV 380/220V 25,8kV - 1 un</t>
  </si>
  <si>
    <t>CELESC 300645</t>
  </si>
  <si>
    <t>Retirada de braço de aço galvanizado a fogo IP D32x1000mm - 13 un</t>
  </si>
  <si>
    <t>CELESC 300589</t>
  </si>
  <si>
    <t>Retirada de circuito  BT (1, 2, 3 ou 4 condutores) - 0,32 km</t>
  </si>
  <si>
    <t>CELESC 300646</t>
  </si>
  <si>
    <t>CELESC 300653</t>
  </si>
  <si>
    <t>Retirada de poste com guindauto (17m) - 1 un</t>
  </si>
  <si>
    <t>CELESC  300673</t>
  </si>
  <si>
    <t>Retirada de cabo de alumínio nú 7 fios 4 AWG - 99,6 kg/km</t>
  </si>
  <si>
    <t>Terminal pra cabo 25mm²</t>
  </si>
  <si>
    <t>CELESC 650860</t>
  </si>
  <si>
    <t>mercado + CELESC 300311</t>
  </si>
  <si>
    <t>CELESC 300001</t>
  </si>
  <si>
    <t>CELESC 300006</t>
  </si>
  <si>
    <t>Luminária de Aluminio injetado, sistema de fixação Ø 25 63mm, Lente de Vidro Borosilicado, ângulo de irradiação Luminosa 80x140°, Led COB (Chip on Board), Temperatura de Cor 5.000 K, Tensão de Alimentação Bivolt 100-250~, vida ultil L70/50.000hs, Eficiencia Energética Classe A,  60HZ, Luminária de LED  100W c/ Fotocelula Integrada</t>
  </si>
  <si>
    <t>Luminária de Aluminio injetado, sistema de fixação Ø 25 63mm, Lente de Vidro Borosilicado, ângulo de irradiação Luminosa 80x140°, Led COB (Chip on Board), Temperatura de Cor 5.000 K, Tensão de Alimentação Bivolt 100-250~, vida ultil L70/50.000hs, Eficiencia Energética Classe A,  60HZ, Luminária de LED  150W c/ Fotocelula Integrada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</si>
</sst>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 R$ &quot;* #,##0.00\ ;&quot;-R$ &quot;* #,##0.00\ ;&quot; R$ &quot;* \-#\ ;@\ "/>
    <numFmt numFmtId="166" formatCode="* #,##0.00\ ;* \(#,##0.00\);* \-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166" fontId="10" fillId="0" borderId="0" applyBorder="0" applyProtection="0"/>
    <xf numFmtId="165" fontId="10" fillId="0" borderId="0" applyBorder="0" applyProtection="0"/>
    <xf numFmtId="9" fontId="10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5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10" fontId="5" fillId="0" borderId="1" xfId="3" applyNumberFormat="1" applyFont="1" applyFill="1" applyBorder="1" applyAlignment="1"/>
    <xf numFmtId="0" fontId="4" fillId="0" borderId="0" xfId="0" applyFont="1" applyFill="1" applyBorder="1"/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44" fontId="6" fillId="2" borderId="1" xfId="3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10" fontId="5" fillId="0" borderId="5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44" fontId="6" fillId="0" borderId="0" xfId="3" applyFont="1" applyFill="1" applyBorder="1" applyAlignment="1">
      <alignment wrapText="1"/>
    </xf>
    <xf numFmtId="164" fontId="5" fillId="0" borderId="0" xfId="1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center" wrapText="1"/>
    </xf>
    <xf numFmtId="164" fontId="5" fillId="0" borderId="11" xfId="1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164" fontId="5" fillId="0" borderId="0" xfId="1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/>
    <xf numFmtId="10" fontId="6" fillId="2" borderId="5" xfId="2" applyNumberFormat="1" applyFont="1" applyFill="1" applyBorder="1" applyAlignment="1">
      <alignment horizontal="center"/>
    </xf>
    <xf numFmtId="10" fontId="6" fillId="0" borderId="9" xfId="2" applyNumberFormat="1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5" fillId="0" borderId="15" xfId="0" quotePrefix="1" applyFont="1" applyFill="1" applyBorder="1" applyAlignment="1">
      <alignment horizontal="left"/>
    </xf>
    <xf numFmtId="0" fontId="5" fillId="0" borderId="1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2" applyNumberFormat="1" applyFont="1" applyFill="1" applyBorder="1" applyAlignment="1">
      <alignment horizontal="right" vertical="center"/>
    </xf>
    <xf numFmtId="4" fontId="5" fillId="0" borderId="10" xfId="3" applyNumberFormat="1" applyFont="1" applyFill="1" applyBorder="1" applyAlignment="1">
      <alignment horizontal="right" wrapText="1"/>
    </xf>
    <xf numFmtId="4" fontId="5" fillId="0" borderId="10" xfId="0" applyNumberFormat="1" applyFont="1" applyFill="1" applyBorder="1" applyAlignment="1">
      <alignment horizontal="right" wrapText="1"/>
    </xf>
    <xf numFmtId="4" fontId="5" fillId="0" borderId="0" xfId="1" applyNumberFormat="1" applyFont="1" applyFill="1" applyBorder="1" applyAlignment="1">
      <alignment horizontal="right" wrapText="1"/>
    </xf>
    <xf numFmtId="4" fontId="5" fillId="0" borderId="0" xfId="3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 wrapText="1"/>
    </xf>
    <xf numFmtId="4" fontId="5" fillId="0" borderId="11" xfId="1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/>
    </xf>
    <xf numFmtId="4" fontId="6" fillId="2" borderId="1" xfId="3" applyNumberFormat="1" applyFont="1" applyFill="1" applyBorder="1" applyAlignment="1">
      <alignment horizontal="right"/>
    </xf>
    <xf numFmtId="4" fontId="6" fillId="0" borderId="0" xfId="3" applyNumberFormat="1" applyFont="1" applyFill="1" applyBorder="1" applyAlignment="1">
      <alignment horizontal="right" wrapText="1"/>
    </xf>
    <xf numFmtId="4" fontId="5" fillId="0" borderId="0" xfId="3" applyNumberFormat="1" applyFont="1" applyFill="1" applyBorder="1" applyAlignment="1">
      <alignment horizontal="right"/>
    </xf>
    <xf numFmtId="4" fontId="5" fillId="0" borderId="11" xfId="3" applyNumberFormat="1" applyFont="1" applyFill="1" applyBorder="1" applyAlignment="1">
      <alignment horizontal="right"/>
    </xf>
    <xf numFmtId="4" fontId="5" fillId="0" borderId="0" xfId="3" applyNumberFormat="1" applyFont="1" applyFill="1" applyAlignment="1">
      <alignment horizontal="right"/>
    </xf>
    <xf numFmtId="4" fontId="5" fillId="0" borderId="0" xfId="1" applyNumberFormat="1" applyFont="1" applyFill="1" applyAlignment="1">
      <alignment horizontal="right" wrapText="1"/>
    </xf>
    <xf numFmtId="4" fontId="5" fillId="0" borderId="0" xfId="0" applyNumberFormat="1" applyFont="1" applyFill="1" applyAlignment="1">
      <alignment horizontal="right"/>
    </xf>
    <xf numFmtId="164" fontId="6" fillId="2" borderId="1" xfId="1" applyFont="1" applyFill="1" applyBorder="1" applyAlignment="1">
      <alignment horizontal="right"/>
    </xf>
    <xf numFmtId="164" fontId="5" fillId="0" borderId="1" xfId="1" applyFont="1" applyFill="1" applyBorder="1" applyAlignment="1">
      <alignment horizontal="right"/>
    </xf>
    <xf numFmtId="164" fontId="6" fillId="2" borderId="1" xfId="1" applyFont="1" applyFill="1" applyBorder="1" applyAlignment="1">
      <alignment horizontal="right" wrapText="1"/>
    </xf>
    <xf numFmtId="164" fontId="5" fillId="0" borderId="1" xfId="1" applyFont="1" applyFill="1" applyBorder="1" applyAlignment="1">
      <alignment horizontal="right" wrapText="1"/>
    </xf>
    <xf numFmtId="164" fontId="6" fillId="0" borderId="0" xfId="1" applyFont="1" applyFill="1" applyBorder="1" applyAlignment="1">
      <alignment horizontal="right" wrapText="1"/>
    </xf>
    <xf numFmtId="164" fontId="6" fillId="0" borderId="0" xfId="1" applyFont="1" applyFill="1" applyBorder="1" applyAlignment="1">
      <alignment horizontal="right" vertical="center" wrapText="1"/>
    </xf>
    <xf numFmtId="164" fontId="5" fillId="0" borderId="0" xfId="1" applyFont="1" applyFill="1" applyBorder="1" applyAlignment="1">
      <alignment horizontal="right" wrapText="1"/>
    </xf>
    <xf numFmtId="164" fontId="5" fillId="0" borderId="11" xfId="1" applyFont="1" applyFill="1" applyBorder="1" applyAlignment="1">
      <alignment horizontal="right" wrapText="1"/>
    </xf>
    <xf numFmtId="164" fontId="5" fillId="0" borderId="0" xfId="1" applyFont="1" applyFill="1" applyAlignment="1">
      <alignment horizontal="right" wrapText="1"/>
    </xf>
    <xf numFmtId="164" fontId="5" fillId="0" borderId="0" xfId="1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/>
    <xf numFmtId="4" fontId="6" fillId="0" borderId="1" xfId="1" applyNumberFormat="1" applyFont="1" applyFill="1" applyBorder="1" applyAlignment="1">
      <alignment horizontal="center" vertical="center" wrapText="1"/>
    </xf>
    <xf numFmtId="10" fontId="5" fillId="0" borderId="13" xfId="2" applyNumberFormat="1" applyFont="1" applyFill="1" applyBorder="1" applyAlignment="1">
      <alignment wrapText="1"/>
    </xf>
    <xf numFmtId="4" fontId="6" fillId="0" borderId="0" xfId="3" applyNumberFormat="1" applyFont="1" applyFill="1" applyBorder="1" applyAlignment="1">
      <alignment horizontal="right" vertical="center" wrapText="1"/>
    </xf>
    <xf numFmtId="44" fontId="6" fillId="0" borderId="0" xfId="3" applyFont="1" applyFill="1" applyBorder="1" applyAlignment="1">
      <alignment vertical="center" wrapText="1"/>
    </xf>
    <xf numFmtId="164" fontId="6" fillId="0" borderId="7" xfId="1" applyFont="1" applyFill="1" applyBorder="1" applyAlignment="1">
      <alignment horizontal="right" vertical="center" wrapText="1"/>
    </xf>
    <xf numFmtId="4" fontId="6" fillId="0" borderId="0" xfId="1" applyNumberFormat="1" applyFont="1" applyFill="1" applyBorder="1" applyAlignment="1">
      <alignment vertical="center"/>
    </xf>
    <xf numFmtId="43" fontId="4" fillId="0" borderId="0" xfId="0" applyNumberFormat="1" applyFont="1" applyFill="1" applyBorder="1"/>
    <xf numFmtId="43" fontId="6" fillId="0" borderId="0" xfId="0" applyNumberFormat="1" applyFont="1" applyFill="1" applyBorder="1" applyAlignment="1">
      <alignment vertical="center"/>
    </xf>
    <xf numFmtId="164" fontId="5" fillId="2" borderId="1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" fontId="6" fillId="0" borderId="0" xfId="1" applyNumberFormat="1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164" fontId="5" fillId="0" borderId="10" xfId="1" applyFont="1" applyFill="1" applyBorder="1" applyAlignment="1">
      <alignment horizontal="left" wrapText="1"/>
    </xf>
    <xf numFmtId="164" fontId="5" fillId="0" borderId="0" xfId="1" applyFont="1" applyFill="1" applyBorder="1" applyAlignment="1">
      <alignment horizontal="left" wrapText="1"/>
    </xf>
    <xf numFmtId="164" fontId="6" fillId="2" borderId="1" xfId="1" applyFont="1" applyFill="1" applyBorder="1" applyAlignment="1">
      <alignment horizontal="left"/>
    </xf>
    <xf numFmtId="164" fontId="8" fillId="2" borderId="1" xfId="1" applyFont="1" applyFill="1" applyBorder="1" applyAlignment="1">
      <alignment horizontal="left"/>
    </xf>
    <xf numFmtId="164" fontId="5" fillId="0" borderId="1" xfId="1" applyFont="1" applyFill="1" applyBorder="1" applyAlignment="1">
      <alignment horizontal="left"/>
    </xf>
    <xf numFmtId="164" fontId="6" fillId="0" borderId="0" xfId="1" applyFont="1" applyFill="1" applyBorder="1" applyAlignment="1">
      <alignment horizontal="left" vertical="center"/>
    </xf>
    <xf numFmtId="164" fontId="5" fillId="0" borderId="0" xfId="1" applyFont="1" applyFill="1" applyBorder="1" applyAlignment="1">
      <alignment horizontal="left"/>
    </xf>
    <xf numFmtId="164" fontId="5" fillId="0" borderId="11" xfId="1" applyFont="1" applyFill="1" applyBorder="1" applyAlignment="1">
      <alignment horizontal="left"/>
    </xf>
    <xf numFmtId="164" fontId="5" fillId="0" borderId="0" xfId="1" applyFont="1" applyFill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left" vertical="center" wrapText="1"/>
    </xf>
    <xf numFmtId="164" fontId="5" fillId="0" borderId="0" xfId="1" applyFont="1" applyFill="1" applyBorder="1" applyAlignment="1">
      <alignment horizontal="right"/>
    </xf>
    <xf numFmtId="164" fontId="5" fillId="0" borderId="10" xfId="1" applyFont="1" applyFill="1" applyBorder="1" applyAlignment="1">
      <alignment horizontal="right" wrapText="1"/>
    </xf>
    <xf numFmtId="164" fontId="5" fillId="0" borderId="11" xfId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 vertical="center" wrapText="1"/>
    </xf>
    <xf numFmtId="164" fontId="5" fillId="0" borderId="0" xfId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4" fontId="0" fillId="0" borderId="0" xfId="0" applyNumberFormat="1"/>
    <xf numFmtId="21" fontId="0" fillId="0" borderId="0" xfId="0" applyNumberFormat="1"/>
    <xf numFmtId="14" fontId="0" fillId="0" borderId="0" xfId="0" applyNumberFormat="1"/>
    <xf numFmtId="47" fontId="0" fillId="0" borderId="0" xfId="0" applyNumberFormat="1"/>
    <xf numFmtId="4" fontId="5" fillId="0" borderId="1" xfId="3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/>
    </xf>
    <xf numFmtId="164" fontId="5" fillId="0" borderId="1" xfId="1" applyFont="1" applyBorder="1" applyAlignment="1">
      <alignment horizontal="left"/>
    </xf>
    <xf numFmtId="4" fontId="5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1" fontId="6" fillId="2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23" xfId="0" applyNumberFormat="1" applyFont="1" applyFill="1" applyBorder="1" applyAlignment="1">
      <alignment horizontal="right" vertical="center" wrapText="1"/>
    </xf>
    <xf numFmtId="43" fontId="5" fillId="0" borderId="0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25" xfId="0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right" vertical="center" wrapText="1"/>
    </xf>
    <xf numFmtId="164" fontId="5" fillId="0" borderId="1" xfId="1" applyFont="1" applyFill="1" applyBorder="1" applyAlignment="1">
      <alignment horizontal="right" vertical="center"/>
    </xf>
    <xf numFmtId="10" fontId="5" fillId="0" borderId="1" xfId="3" applyNumberFormat="1" applyFont="1" applyFill="1" applyBorder="1" applyAlignment="1">
      <alignment vertical="center"/>
    </xf>
    <xf numFmtId="10" fontId="5" fillId="0" borderId="5" xfId="2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horizontal="left" vertical="center"/>
    </xf>
    <xf numFmtId="164" fontId="6" fillId="0" borderId="1" xfId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right" vertical="center" wrapText="1"/>
    </xf>
    <xf numFmtId="164" fontId="5" fillId="0" borderId="10" xfId="1" applyFont="1" applyFill="1" applyBorder="1" applyAlignment="1">
      <alignment horizontal="right" vertical="center" wrapText="1"/>
    </xf>
    <xf numFmtId="49" fontId="5" fillId="0" borderId="12" xfId="0" applyNumberFormat="1" applyFont="1" applyFill="1" applyBorder="1" applyAlignment="1">
      <alignment horizontal="right" wrapText="1"/>
    </xf>
    <xf numFmtId="49" fontId="5" fillId="0" borderId="10" xfId="0" applyNumberFormat="1" applyFont="1" applyFill="1" applyBorder="1" applyAlignment="1">
      <alignment horizontal="right" wrapText="1"/>
    </xf>
    <xf numFmtId="49" fontId="5" fillId="0" borderId="13" xfId="0" applyNumberFormat="1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wrapText="1"/>
    </xf>
    <xf numFmtId="4" fontId="6" fillId="0" borderId="10" xfId="1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6" fillId="0" borderId="7" xfId="1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0" borderId="22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/>
    </xf>
    <xf numFmtId="8" fontId="5" fillId="0" borderId="24" xfId="0" applyNumberFormat="1" applyFont="1" applyFill="1" applyBorder="1" applyAlignment="1">
      <alignment horizontal="left" wrapText="1"/>
    </xf>
    <xf numFmtId="0" fontId="5" fillId="0" borderId="8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</cellXfs>
  <cellStyles count="13">
    <cellStyle name="Moeda" xfId="3" builtinId="4"/>
    <cellStyle name="Moeda 2" xfId="5"/>
    <cellStyle name="Moeda 3" xfId="9"/>
    <cellStyle name="Normal" xfId="0" builtinId="0"/>
    <cellStyle name="Normal 2" xfId="4"/>
    <cellStyle name="Normal 2 10" xfId="6"/>
    <cellStyle name="Normal 3" xfId="7"/>
    <cellStyle name="Porcentagem" xfId="2" builtinId="5"/>
    <cellStyle name="Porcentagem 2" xfId="10"/>
    <cellStyle name="Vírgula" xfId="1" builtinId="3"/>
    <cellStyle name="Vírgula 2" xfId="8"/>
    <cellStyle name="Vírgula 3" xfId="11"/>
    <cellStyle name="Vírgula 4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X144"/>
  <sheetViews>
    <sheetView tabSelected="1" topLeftCell="B64" workbookViewId="0">
      <selection activeCell="C71" sqref="C71"/>
    </sheetView>
  </sheetViews>
  <sheetFormatPr defaultRowHeight="12.75" x14ac:dyDescent="0.2"/>
  <cols>
    <col min="1" max="1" width="4.7109375" style="34" bestFit="1" customWidth="1"/>
    <col min="2" max="2" width="29.7109375" style="135" customWidth="1"/>
    <col min="3" max="3" width="59.28515625" style="35" bestFit="1" customWidth="1"/>
    <col min="4" max="4" width="4.7109375" style="34" bestFit="1" customWidth="1"/>
    <col min="5" max="5" width="9" style="106" bestFit="1" customWidth="1"/>
    <col min="6" max="6" width="9.28515625" style="71" bestFit="1" customWidth="1"/>
    <col min="7" max="7" width="12.85546875" style="59" bestFit="1" customWidth="1"/>
    <col min="8" max="8" width="13.5703125" style="60" customWidth="1"/>
    <col min="9" max="9" width="11.5703125" style="60" bestFit="1" customWidth="1"/>
    <col min="10" max="10" width="10.42578125" style="36" customWidth="1"/>
    <col min="11" max="11" width="12.5703125" style="70" customWidth="1"/>
    <col min="12" max="12" width="9.42578125" style="34" customWidth="1"/>
    <col min="13" max="13" width="12.7109375" style="2" bestFit="1" customWidth="1"/>
    <col min="14" max="14" width="11" style="2" bestFit="1" customWidth="1"/>
    <col min="15" max="439" width="9.140625" style="2"/>
    <col min="440" max="16384" width="9.140625" style="1"/>
  </cols>
  <sheetData>
    <row r="1" spans="1:440" ht="92.25" customHeight="1" thickBot="1" x14ac:dyDescent="0.25">
      <c r="A1" s="175" t="s">
        <v>25</v>
      </c>
      <c r="B1" s="176"/>
      <c r="C1" s="176"/>
      <c r="D1" s="177"/>
      <c r="E1" s="149" t="s">
        <v>367</v>
      </c>
      <c r="F1" s="150"/>
      <c r="G1" s="150"/>
      <c r="H1" s="150"/>
      <c r="I1" s="150"/>
      <c r="J1" s="150"/>
      <c r="K1" s="150"/>
      <c r="L1" s="151"/>
    </row>
    <row r="2" spans="1:440" ht="13.5" thickBot="1" x14ac:dyDescent="0.25">
      <c r="A2" s="158"/>
      <c r="B2" s="159"/>
      <c r="C2" s="159"/>
      <c r="D2" s="159"/>
      <c r="E2" s="98"/>
      <c r="F2" s="112"/>
      <c r="G2" s="48"/>
      <c r="H2" s="49"/>
      <c r="I2" s="172" t="s">
        <v>368</v>
      </c>
      <c r="J2" s="173"/>
      <c r="K2" s="173"/>
      <c r="L2" s="174"/>
    </row>
    <row r="3" spans="1:440" ht="13.5" thickBot="1" x14ac:dyDescent="0.25">
      <c r="A3" s="160"/>
      <c r="B3" s="161"/>
      <c r="C3" s="161"/>
      <c r="D3" s="161"/>
      <c r="E3" s="99"/>
      <c r="F3" s="68"/>
      <c r="G3" s="51"/>
      <c r="H3" s="52"/>
      <c r="I3" s="170" t="s">
        <v>24</v>
      </c>
      <c r="J3" s="171"/>
      <c r="K3" s="171"/>
      <c r="L3" s="75">
        <v>0.25</v>
      </c>
    </row>
    <row r="4" spans="1:440" s="3" customFormat="1" x14ac:dyDescent="0.25">
      <c r="A4" s="181" t="s">
        <v>4</v>
      </c>
      <c r="B4" s="185" t="s">
        <v>28</v>
      </c>
      <c r="C4" s="152" t="s">
        <v>5</v>
      </c>
      <c r="D4" s="154" t="s">
        <v>1</v>
      </c>
      <c r="E4" s="156" t="s">
        <v>22</v>
      </c>
      <c r="F4" s="168" t="s">
        <v>6</v>
      </c>
      <c r="G4" s="168"/>
      <c r="H4" s="168"/>
      <c r="I4" s="168" t="s">
        <v>10</v>
      </c>
      <c r="J4" s="166" t="s">
        <v>3</v>
      </c>
      <c r="K4" s="164" t="s">
        <v>11</v>
      </c>
      <c r="L4" s="162" t="s">
        <v>12</v>
      </c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  <c r="IV4" s="72"/>
      <c r="IW4" s="72"/>
      <c r="IX4" s="72"/>
      <c r="IY4" s="72"/>
      <c r="IZ4" s="72"/>
      <c r="JA4" s="72"/>
      <c r="JB4" s="72"/>
      <c r="JC4" s="72"/>
      <c r="JD4" s="72"/>
      <c r="JE4" s="72"/>
      <c r="JF4" s="72"/>
      <c r="JG4" s="72"/>
      <c r="JH4" s="72"/>
      <c r="JI4" s="72"/>
      <c r="JJ4" s="72"/>
      <c r="JK4" s="72"/>
      <c r="JL4" s="72"/>
      <c r="JM4" s="72"/>
      <c r="JN4" s="72"/>
      <c r="JO4" s="72"/>
      <c r="JP4" s="72"/>
      <c r="JQ4" s="72"/>
      <c r="JR4" s="72"/>
      <c r="JS4" s="72"/>
      <c r="JT4" s="72"/>
      <c r="JU4" s="72"/>
      <c r="JV4" s="72"/>
      <c r="JW4" s="72"/>
      <c r="JX4" s="72"/>
      <c r="JY4" s="72"/>
      <c r="JZ4" s="72"/>
      <c r="KA4" s="72"/>
      <c r="KB4" s="72"/>
      <c r="KC4" s="72"/>
      <c r="KD4" s="72"/>
      <c r="KE4" s="72"/>
      <c r="KF4" s="72"/>
      <c r="KG4" s="72"/>
      <c r="KH4" s="72"/>
      <c r="KI4" s="72"/>
      <c r="KJ4" s="72"/>
      <c r="KK4" s="72"/>
      <c r="KL4" s="72"/>
      <c r="KM4" s="72"/>
      <c r="KN4" s="72"/>
      <c r="KO4" s="72"/>
      <c r="KP4" s="72"/>
      <c r="KQ4" s="72"/>
      <c r="KR4" s="72"/>
      <c r="KS4" s="72"/>
      <c r="KT4" s="72"/>
      <c r="KU4" s="72"/>
      <c r="KV4" s="72"/>
      <c r="KW4" s="72"/>
      <c r="KX4" s="72"/>
      <c r="KY4" s="72"/>
      <c r="KZ4" s="72"/>
      <c r="LA4" s="72"/>
      <c r="LB4" s="72"/>
      <c r="LC4" s="72"/>
      <c r="LD4" s="72"/>
      <c r="LE4" s="72"/>
      <c r="LF4" s="72"/>
      <c r="LG4" s="72"/>
      <c r="LH4" s="72"/>
      <c r="LI4" s="72"/>
      <c r="LJ4" s="72"/>
      <c r="LK4" s="72"/>
      <c r="LL4" s="72"/>
      <c r="LM4" s="72"/>
      <c r="LN4" s="72"/>
      <c r="LO4" s="72"/>
      <c r="LP4" s="72"/>
      <c r="LQ4" s="72"/>
      <c r="LR4" s="72"/>
      <c r="LS4" s="72"/>
      <c r="LT4" s="72"/>
      <c r="LU4" s="72"/>
      <c r="LV4" s="72"/>
      <c r="LW4" s="72"/>
      <c r="LX4" s="72"/>
      <c r="LY4" s="72"/>
      <c r="LZ4" s="72"/>
      <c r="MA4" s="72"/>
      <c r="MB4" s="72"/>
      <c r="MC4" s="72"/>
      <c r="MD4" s="72"/>
      <c r="ME4" s="72"/>
      <c r="MF4" s="72"/>
      <c r="MG4" s="72"/>
      <c r="MH4" s="72"/>
      <c r="MI4" s="72"/>
      <c r="MJ4" s="72"/>
      <c r="MK4" s="72"/>
      <c r="ML4" s="72"/>
      <c r="MM4" s="72"/>
      <c r="MN4" s="72"/>
      <c r="MO4" s="72"/>
      <c r="MP4" s="72"/>
      <c r="MQ4" s="72"/>
      <c r="MR4" s="72"/>
      <c r="MS4" s="72"/>
      <c r="MT4" s="72"/>
      <c r="MU4" s="72"/>
      <c r="MV4" s="72"/>
      <c r="MW4" s="72"/>
      <c r="MX4" s="72"/>
      <c r="MY4" s="72"/>
      <c r="MZ4" s="72"/>
      <c r="NA4" s="72"/>
      <c r="NB4" s="72"/>
      <c r="NC4" s="72"/>
      <c r="ND4" s="72"/>
      <c r="NE4" s="72"/>
      <c r="NF4" s="72"/>
      <c r="NG4" s="72"/>
      <c r="NH4" s="72"/>
      <c r="NI4" s="72"/>
      <c r="NJ4" s="72"/>
      <c r="NK4" s="72"/>
      <c r="NL4" s="72"/>
      <c r="NM4" s="72"/>
      <c r="NN4" s="72"/>
      <c r="NO4" s="72"/>
      <c r="NP4" s="72"/>
      <c r="NQ4" s="72"/>
      <c r="NR4" s="72"/>
      <c r="NS4" s="72"/>
      <c r="NT4" s="72"/>
      <c r="NU4" s="72"/>
      <c r="NV4" s="72"/>
      <c r="NW4" s="72"/>
      <c r="NX4" s="72"/>
      <c r="NY4" s="72"/>
      <c r="NZ4" s="72"/>
      <c r="OA4" s="72"/>
      <c r="OB4" s="72"/>
      <c r="OC4" s="72"/>
      <c r="OD4" s="72"/>
      <c r="OE4" s="72"/>
      <c r="OF4" s="72"/>
      <c r="OG4" s="72"/>
      <c r="OH4" s="72"/>
      <c r="OI4" s="72"/>
      <c r="OJ4" s="72"/>
      <c r="OK4" s="72"/>
      <c r="OL4" s="72"/>
      <c r="OM4" s="72"/>
      <c r="ON4" s="72"/>
      <c r="OO4" s="72"/>
      <c r="OP4" s="72"/>
      <c r="OQ4" s="72"/>
      <c r="OR4" s="72"/>
      <c r="OS4" s="72"/>
      <c r="OT4" s="72"/>
      <c r="OU4" s="72"/>
      <c r="OV4" s="72"/>
      <c r="OW4" s="72"/>
      <c r="OX4" s="72"/>
      <c r="OY4" s="72"/>
      <c r="OZ4" s="72"/>
      <c r="PA4" s="72"/>
      <c r="PB4" s="72"/>
      <c r="PC4" s="72"/>
      <c r="PD4" s="72"/>
      <c r="PE4" s="72"/>
      <c r="PF4" s="72"/>
      <c r="PG4" s="72"/>
      <c r="PH4" s="72"/>
      <c r="PI4" s="72"/>
      <c r="PJ4" s="72"/>
      <c r="PK4" s="72"/>
      <c r="PL4" s="72"/>
      <c r="PM4" s="72"/>
      <c r="PN4" s="72"/>
      <c r="PO4" s="72"/>
      <c r="PP4" s="72"/>
      <c r="PQ4" s="72"/>
      <c r="PR4" s="72"/>
      <c r="PS4" s="72"/>
      <c r="PT4" s="72"/>
      <c r="PU4" s="72"/>
      <c r="PV4" s="72"/>
      <c r="PW4" s="72"/>
    </row>
    <row r="5" spans="1:440" s="5" customFormat="1" x14ac:dyDescent="0.25">
      <c r="A5" s="182"/>
      <c r="B5" s="186"/>
      <c r="C5" s="153"/>
      <c r="D5" s="155"/>
      <c r="E5" s="157"/>
      <c r="F5" s="114" t="s">
        <v>7</v>
      </c>
      <c r="G5" s="121" t="s">
        <v>8</v>
      </c>
      <c r="H5" s="74" t="s">
        <v>9</v>
      </c>
      <c r="I5" s="169"/>
      <c r="J5" s="167"/>
      <c r="K5" s="165"/>
      <c r="L5" s="16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</row>
    <row r="6" spans="1:440" s="6" customFormat="1" x14ac:dyDescent="0.2">
      <c r="A6" s="85">
        <v>1</v>
      </c>
      <c r="B6" s="126"/>
      <c r="C6" s="8" t="s">
        <v>2</v>
      </c>
      <c r="E6" s="100"/>
      <c r="F6" s="82"/>
      <c r="G6" s="122"/>
      <c r="H6" s="54"/>
      <c r="I6" s="55">
        <f>SUM(I7:I9)</f>
        <v>7520.2399999999989</v>
      </c>
      <c r="K6" s="55">
        <f>SUM(K7:K9)</f>
        <v>9400.2999999999993</v>
      </c>
      <c r="L6" s="39">
        <f>SUM(L7:L9)</f>
        <v>1.5676536361804768E-2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7"/>
    </row>
    <row r="7" spans="1:440" s="14" customFormat="1" ht="25.5" x14ac:dyDescent="0.2">
      <c r="A7" s="86" t="s">
        <v>15</v>
      </c>
      <c r="B7" s="127" t="s">
        <v>40</v>
      </c>
      <c r="C7" s="10" t="s">
        <v>41</v>
      </c>
      <c r="D7" s="11" t="s">
        <v>17</v>
      </c>
      <c r="E7" s="102">
        <v>8</v>
      </c>
      <c r="F7" s="63">
        <f>533.92+0.06+0.12</f>
        <v>534.09999999999991</v>
      </c>
      <c r="G7" s="63">
        <v>130.41999999999999</v>
      </c>
      <c r="H7" s="63">
        <f>F7+G7</f>
        <v>664.51999999999987</v>
      </c>
      <c r="I7" s="63">
        <f>E7*H7</f>
        <v>5316.1599999999989</v>
      </c>
      <c r="J7" s="12">
        <f>$L$3</f>
        <v>0.25</v>
      </c>
      <c r="K7" s="63">
        <f>I7*(1+J7)</f>
        <v>6645.1999999999989</v>
      </c>
      <c r="L7" s="19">
        <f>K7/$K$118</f>
        <v>1.1081956898339951E-2</v>
      </c>
      <c r="M7" s="80"/>
      <c r="N7" s="80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</row>
    <row r="8" spans="1:440" s="14" customFormat="1" x14ac:dyDescent="0.2">
      <c r="A8" s="86" t="s">
        <v>16</v>
      </c>
      <c r="B8" s="127" t="s">
        <v>32</v>
      </c>
      <c r="C8" s="10" t="s">
        <v>33</v>
      </c>
      <c r="D8" s="11" t="s">
        <v>21</v>
      </c>
      <c r="E8" s="102">
        <v>2</v>
      </c>
      <c r="F8" s="63">
        <v>475</v>
      </c>
      <c r="G8" s="63"/>
      <c r="H8" s="63">
        <f>F8+G8</f>
        <v>475</v>
      </c>
      <c r="I8" s="63">
        <f>E8*H8</f>
        <v>950</v>
      </c>
      <c r="J8" s="12">
        <f>$L$3</f>
        <v>0.25</v>
      </c>
      <c r="K8" s="63">
        <f>I8*(1+J8)</f>
        <v>1187.5</v>
      </c>
      <c r="L8" s="19">
        <f>K8/$K$118</f>
        <v>1.980350300484364E-3</v>
      </c>
      <c r="M8" s="80"/>
      <c r="N8" s="80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</row>
    <row r="9" spans="1:440" s="14" customFormat="1" ht="15" x14ac:dyDescent="0.2">
      <c r="A9" s="86" t="s">
        <v>23</v>
      </c>
      <c r="B9" s="127" t="s">
        <v>42</v>
      </c>
      <c r="C9" s="10" t="s">
        <v>19</v>
      </c>
      <c r="D9" s="11" t="s">
        <v>20</v>
      </c>
      <c r="E9" s="102">
        <v>4</v>
      </c>
      <c r="F9" s="63">
        <v>269.01</v>
      </c>
      <c r="G9" s="63">
        <v>44.51</v>
      </c>
      <c r="H9" s="63">
        <f>F9+G9</f>
        <v>313.52</v>
      </c>
      <c r="I9" s="63">
        <f>E9*H9</f>
        <v>1254.08</v>
      </c>
      <c r="J9" s="12">
        <f>$L$3</f>
        <v>0.25</v>
      </c>
      <c r="K9" s="63">
        <f>I9*(1+J9)</f>
        <v>1567.6</v>
      </c>
      <c r="L9" s="19">
        <f>K9/$K$118</f>
        <v>2.6142291629804534E-3</v>
      </c>
      <c r="M9" s="80"/>
      <c r="N9" s="80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</row>
    <row r="10" spans="1:440" s="6" customFormat="1" x14ac:dyDescent="0.2">
      <c r="A10" s="85">
        <v>2</v>
      </c>
      <c r="B10" s="126"/>
      <c r="C10" s="8" t="s">
        <v>30</v>
      </c>
      <c r="E10" s="100"/>
      <c r="F10" s="82"/>
      <c r="G10" s="122"/>
      <c r="H10" s="54"/>
      <c r="I10" s="55">
        <f>SUM(I11:I12)</f>
        <v>6832.0999999999995</v>
      </c>
      <c r="K10" s="55">
        <f>SUM(K11:K12)</f>
        <v>8540.125</v>
      </c>
      <c r="L10" s="39">
        <f>SUM(L11:L12)</f>
        <v>1.4242053987304444E-2</v>
      </c>
      <c r="M10" s="80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7"/>
    </row>
    <row r="11" spans="1:440" s="14" customFormat="1" ht="25.5" x14ac:dyDescent="0.2">
      <c r="A11" s="86" t="s">
        <v>45</v>
      </c>
      <c r="B11" s="127" t="s">
        <v>34</v>
      </c>
      <c r="C11" s="10" t="s">
        <v>355</v>
      </c>
      <c r="D11" s="11" t="s">
        <v>43</v>
      </c>
      <c r="E11" s="102">
        <v>80</v>
      </c>
      <c r="F11" s="63"/>
      <c r="G11" s="63">
        <v>82.57</v>
      </c>
      <c r="H11" s="63">
        <f>F11+G11</f>
        <v>82.57</v>
      </c>
      <c r="I11" s="63">
        <f>E11*H11</f>
        <v>6605.5999999999995</v>
      </c>
      <c r="J11" s="12">
        <f>$L$3</f>
        <v>0.25</v>
      </c>
      <c r="K11" s="63">
        <f>I11*(1+J11)</f>
        <v>8257</v>
      </c>
      <c r="L11" s="19">
        <f>K11/$K$118</f>
        <v>1.3769896784083699E-2</v>
      </c>
      <c r="M11" s="80"/>
      <c r="N11" s="80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</row>
    <row r="12" spans="1:440" s="14" customFormat="1" x14ac:dyDescent="0.2">
      <c r="A12" s="86" t="s">
        <v>46</v>
      </c>
      <c r="B12" s="127" t="s">
        <v>35</v>
      </c>
      <c r="C12" s="15" t="s">
        <v>31</v>
      </c>
      <c r="D12" s="11" t="s">
        <v>1</v>
      </c>
      <c r="E12" s="102">
        <v>1</v>
      </c>
      <c r="F12" s="63">
        <v>226.5</v>
      </c>
      <c r="G12" s="63"/>
      <c r="H12" s="63">
        <f>F12+G12</f>
        <v>226.5</v>
      </c>
      <c r="I12" s="63">
        <f>E12*H12</f>
        <v>226.5</v>
      </c>
      <c r="J12" s="12">
        <f>$L$3</f>
        <v>0.25</v>
      </c>
      <c r="K12" s="63">
        <f>I12*(1+J12)</f>
        <v>283.125</v>
      </c>
      <c r="L12" s="19">
        <f>K12/$K$118</f>
        <v>4.7215720322074569E-4</v>
      </c>
      <c r="M12" s="80"/>
      <c r="N12" s="80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</row>
    <row r="13" spans="1:440" s="73" customFormat="1" x14ac:dyDescent="0.2">
      <c r="A13" s="87">
        <v>3</v>
      </c>
      <c r="B13" s="128"/>
      <c r="C13" s="17" t="s">
        <v>29</v>
      </c>
      <c r="D13" s="18"/>
      <c r="E13" s="101"/>
      <c r="F13" s="82"/>
      <c r="G13" s="82"/>
      <c r="H13" s="62"/>
      <c r="I13" s="64">
        <f>SUM(I14:I114)</f>
        <v>465360.76922499138</v>
      </c>
      <c r="J13" s="16"/>
      <c r="K13" s="64">
        <f>SUM(K14:K114)</f>
        <v>581700.9615312391</v>
      </c>
      <c r="L13" s="39">
        <f>SUM(L14:L114)</f>
        <v>0.97008140965089096</v>
      </c>
      <c r="M13" s="80"/>
      <c r="N13" s="80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  <c r="LC13" s="38"/>
      <c r="LD13" s="38"/>
      <c r="LE13" s="38"/>
      <c r="LF13" s="38"/>
      <c r="LG13" s="38"/>
      <c r="LH13" s="38"/>
      <c r="LI13" s="38"/>
      <c r="LJ13" s="38"/>
      <c r="LK13" s="38"/>
      <c r="LL13" s="38"/>
      <c r="LM13" s="38"/>
      <c r="LN13" s="38"/>
      <c r="LO13" s="38"/>
      <c r="LP13" s="38"/>
      <c r="LQ13" s="38"/>
      <c r="LR13" s="38"/>
      <c r="LS13" s="38"/>
      <c r="LT13" s="38"/>
      <c r="LU13" s="38"/>
      <c r="LV13" s="38"/>
      <c r="LW13" s="38"/>
      <c r="LX13" s="38"/>
      <c r="LY13" s="38"/>
      <c r="LZ13" s="38"/>
      <c r="MA13" s="38"/>
      <c r="MB13" s="38"/>
      <c r="MC13" s="38"/>
      <c r="MD13" s="38"/>
      <c r="ME13" s="38"/>
      <c r="MF13" s="38"/>
      <c r="MG13" s="38"/>
      <c r="MH13" s="38"/>
      <c r="MI13" s="38"/>
      <c r="MJ13" s="38"/>
      <c r="MK13" s="38"/>
      <c r="ML13" s="38"/>
      <c r="MM13" s="38"/>
      <c r="MN13" s="38"/>
      <c r="MO13" s="38"/>
      <c r="MP13" s="38"/>
      <c r="MQ13" s="38"/>
      <c r="MR13" s="38"/>
      <c r="MS13" s="38"/>
      <c r="MT13" s="38"/>
      <c r="MU13" s="38"/>
      <c r="MV13" s="38"/>
      <c r="MW13" s="38"/>
      <c r="MX13" s="38"/>
      <c r="MY13" s="38"/>
      <c r="MZ13" s="38"/>
      <c r="NA13" s="38"/>
      <c r="NB13" s="38"/>
      <c r="NC13" s="38"/>
      <c r="ND13" s="38"/>
      <c r="NE13" s="38"/>
      <c r="NF13" s="38"/>
      <c r="NG13" s="38"/>
      <c r="NH13" s="38"/>
      <c r="NI13" s="38"/>
      <c r="NJ13" s="38"/>
      <c r="NK13" s="38"/>
      <c r="NL13" s="38"/>
      <c r="NM13" s="38"/>
      <c r="NN13" s="38"/>
      <c r="NO13" s="38"/>
      <c r="NP13" s="38"/>
      <c r="NQ13" s="38"/>
      <c r="NR13" s="38"/>
      <c r="NS13" s="38"/>
      <c r="NT13" s="38"/>
      <c r="NU13" s="38"/>
      <c r="NV13" s="38"/>
      <c r="NW13" s="38"/>
      <c r="NX13" s="38"/>
      <c r="NY13" s="38"/>
      <c r="NZ13" s="38"/>
      <c r="OA13" s="38"/>
      <c r="OB13" s="38"/>
      <c r="OC13" s="38"/>
      <c r="OD13" s="38"/>
      <c r="OE13" s="38"/>
      <c r="OF13" s="38"/>
      <c r="OG13" s="38"/>
      <c r="OH13" s="38"/>
      <c r="OI13" s="38"/>
      <c r="OJ13" s="38"/>
      <c r="OK13" s="38"/>
      <c r="OL13" s="38"/>
      <c r="OM13" s="38"/>
      <c r="ON13" s="38"/>
      <c r="OO13" s="38"/>
      <c r="OP13" s="38"/>
      <c r="OQ13" s="38"/>
      <c r="OR13" s="38"/>
      <c r="OS13" s="38"/>
      <c r="OT13" s="38"/>
      <c r="OU13" s="38"/>
      <c r="OV13" s="38"/>
      <c r="OW13" s="38"/>
      <c r="OX13" s="38"/>
      <c r="OY13" s="38"/>
      <c r="OZ13" s="38"/>
      <c r="PA13" s="38"/>
      <c r="PB13" s="38"/>
      <c r="PC13" s="38"/>
      <c r="PD13" s="38"/>
      <c r="PE13" s="38"/>
      <c r="PF13" s="38"/>
      <c r="PG13" s="38"/>
      <c r="PH13" s="38"/>
      <c r="PI13" s="38"/>
      <c r="PJ13" s="38"/>
      <c r="PK13" s="38"/>
      <c r="PL13" s="38"/>
      <c r="PM13" s="38"/>
      <c r="PN13" s="38"/>
      <c r="PO13" s="38"/>
      <c r="PP13" s="38"/>
      <c r="PQ13" s="38"/>
      <c r="PR13" s="38"/>
      <c r="PS13" s="38"/>
      <c r="PT13" s="38"/>
      <c r="PU13" s="38"/>
      <c r="PV13" s="38"/>
      <c r="PW13" s="38"/>
    </row>
    <row r="14" spans="1:440" s="14" customFormat="1" x14ac:dyDescent="0.2">
      <c r="A14" s="88" t="s">
        <v>68</v>
      </c>
      <c r="B14" s="10" t="s">
        <v>323</v>
      </c>
      <c r="C14" s="96" t="s">
        <v>401</v>
      </c>
      <c r="D14" s="107" t="s">
        <v>324</v>
      </c>
      <c r="E14" s="108">
        <v>2</v>
      </c>
      <c r="F14" s="65"/>
      <c r="G14" s="123">
        <v>59</v>
      </c>
      <c r="H14" s="63">
        <f>F14+G14</f>
        <v>59</v>
      </c>
      <c r="I14" s="63">
        <f>E14*H14</f>
        <v>118</v>
      </c>
      <c r="J14" s="12">
        <f t="shared" ref="J14:J114" si="0">$L$3</f>
        <v>0.25</v>
      </c>
      <c r="K14" s="63">
        <f>I14*(1+J14)</f>
        <v>147.5</v>
      </c>
      <c r="L14" s="19">
        <f t="shared" ref="L14:L45" si="1">K14/$K$118</f>
        <v>2.4598035311279467E-4</v>
      </c>
      <c r="M14" s="80"/>
      <c r="N14" s="80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</row>
    <row r="15" spans="1:440" s="14" customFormat="1" x14ac:dyDescent="0.2">
      <c r="A15" s="88" t="s">
        <v>69</v>
      </c>
      <c r="B15" s="10" t="s">
        <v>468</v>
      </c>
      <c r="C15" s="116" t="s">
        <v>399</v>
      </c>
      <c r="D15" s="107" t="s">
        <v>324</v>
      </c>
      <c r="E15" s="108">
        <f>25*11</f>
        <v>275</v>
      </c>
      <c r="F15" s="65"/>
      <c r="G15" s="123">
        <v>59</v>
      </c>
      <c r="H15" s="63">
        <f>F15+G15</f>
        <v>59</v>
      </c>
      <c r="I15" s="63">
        <f>E15*H15</f>
        <v>16225</v>
      </c>
      <c r="J15" s="12">
        <f t="shared" si="0"/>
        <v>0.25</v>
      </c>
      <c r="K15" s="63">
        <f>I15*(1+J15)</f>
        <v>20281.25</v>
      </c>
      <c r="L15" s="19">
        <f t="shared" si="1"/>
        <v>3.3822298553009264E-2</v>
      </c>
      <c r="M15" s="80"/>
      <c r="N15" s="80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</row>
    <row r="16" spans="1:440" s="14" customFormat="1" x14ac:dyDescent="0.2">
      <c r="A16" s="88" t="s">
        <v>356</v>
      </c>
      <c r="B16" s="10" t="s">
        <v>469</v>
      </c>
      <c r="C16" s="116" t="s">
        <v>400</v>
      </c>
      <c r="D16" s="107" t="s">
        <v>324</v>
      </c>
      <c r="E16" s="108">
        <f>4*7</f>
        <v>28</v>
      </c>
      <c r="F16" s="65"/>
      <c r="G16" s="123">
        <v>59</v>
      </c>
      <c r="H16" s="63">
        <f>F16+G16</f>
        <v>59</v>
      </c>
      <c r="I16" s="63">
        <f>E16*H16</f>
        <v>1652</v>
      </c>
      <c r="J16" s="12">
        <f t="shared" si="0"/>
        <v>0.25</v>
      </c>
      <c r="K16" s="63">
        <f>I16*(1+J16)</f>
        <v>2065</v>
      </c>
      <c r="L16" s="19">
        <f t="shared" si="1"/>
        <v>3.4437249435791254E-3</v>
      </c>
      <c r="M16" s="80"/>
      <c r="N16" s="80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</row>
    <row r="17" spans="1:439" s="14" customFormat="1" x14ac:dyDescent="0.2">
      <c r="A17" s="88" t="s">
        <v>356</v>
      </c>
      <c r="B17" s="10" t="s">
        <v>466</v>
      </c>
      <c r="C17" s="116" t="s">
        <v>418</v>
      </c>
      <c r="D17" s="107" t="s">
        <v>324</v>
      </c>
      <c r="E17" s="108">
        <f>4*35.3</f>
        <v>141.19999999999999</v>
      </c>
      <c r="F17" s="65"/>
      <c r="G17" s="123">
        <v>59</v>
      </c>
      <c r="H17" s="63">
        <f>F17+G17</f>
        <v>59</v>
      </c>
      <c r="I17" s="63">
        <f>E17*H17</f>
        <v>8330.7999999999993</v>
      </c>
      <c r="J17" s="12">
        <f t="shared" si="0"/>
        <v>0.25</v>
      </c>
      <c r="K17" s="63">
        <f>I17*(1+J17)</f>
        <v>10413.5</v>
      </c>
      <c r="L17" s="19">
        <f t="shared" si="1"/>
        <v>1.7366212929763303E-2</v>
      </c>
      <c r="M17" s="80"/>
      <c r="N17" s="80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</row>
    <row r="18" spans="1:439" s="14" customFormat="1" x14ac:dyDescent="0.2">
      <c r="A18" s="88" t="s">
        <v>47</v>
      </c>
      <c r="B18" s="10" t="s">
        <v>325</v>
      </c>
      <c r="C18" s="93" t="s">
        <v>65</v>
      </c>
      <c r="D18" s="109" t="s">
        <v>1</v>
      </c>
      <c r="E18" s="110">
        <v>4</v>
      </c>
      <c r="F18" s="65">
        <v>10.72</v>
      </c>
      <c r="G18" s="123">
        <v>3.23</v>
      </c>
      <c r="H18" s="63">
        <f t="shared" ref="H18:H29" si="2">F18+G18</f>
        <v>13.950000000000001</v>
      </c>
      <c r="I18" s="63">
        <f t="shared" ref="I18:I29" si="3">E18*H18</f>
        <v>55.800000000000004</v>
      </c>
      <c r="J18" s="12">
        <f t="shared" si="0"/>
        <v>0.25</v>
      </c>
      <c r="K18" s="63">
        <f t="shared" ref="K18:K29" si="4">I18*(1+J18)</f>
        <v>69.75</v>
      </c>
      <c r="L18" s="19">
        <f t="shared" si="1"/>
        <v>1.1631952291266053E-4</v>
      </c>
      <c r="M18" s="80"/>
      <c r="N18" s="80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</row>
    <row r="19" spans="1:439" s="14" customFormat="1" x14ac:dyDescent="0.2">
      <c r="A19" s="88" t="s">
        <v>70</v>
      </c>
      <c r="B19" s="10" t="s">
        <v>325</v>
      </c>
      <c r="C19" s="93" t="s">
        <v>64</v>
      </c>
      <c r="D19" s="109" t="s">
        <v>1</v>
      </c>
      <c r="E19" s="110">
        <v>16</v>
      </c>
      <c r="F19" s="65">
        <v>4.76</v>
      </c>
      <c r="G19" s="123">
        <v>3.23</v>
      </c>
      <c r="H19" s="63">
        <f t="shared" si="2"/>
        <v>7.99</v>
      </c>
      <c r="I19" s="63">
        <f t="shared" si="3"/>
        <v>127.84</v>
      </c>
      <c r="J19" s="12">
        <f t="shared" si="0"/>
        <v>0.25</v>
      </c>
      <c r="K19" s="63">
        <f t="shared" si="4"/>
        <v>159.80000000000001</v>
      </c>
      <c r="L19" s="19">
        <f t="shared" si="1"/>
        <v>2.6649261306728537E-4</v>
      </c>
      <c r="M19" s="80"/>
      <c r="N19" s="80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</row>
    <row r="20" spans="1:439" s="14" customFormat="1" x14ac:dyDescent="0.2">
      <c r="A20" s="88" t="s">
        <v>71</v>
      </c>
      <c r="B20" s="10" t="s">
        <v>325</v>
      </c>
      <c r="C20" s="93" t="s">
        <v>66</v>
      </c>
      <c r="D20" s="109" t="s">
        <v>1</v>
      </c>
      <c r="E20" s="110">
        <v>18</v>
      </c>
      <c r="F20" s="65">
        <v>3.22</v>
      </c>
      <c r="G20" s="123">
        <v>3.23</v>
      </c>
      <c r="H20" s="63">
        <f t="shared" si="2"/>
        <v>6.45</v>
      </c>
      <c r="I20" s="63">
        <f t="shared" si="3"/>
        <v>116.10000000000001</v>
      </c>
      <c r="J20" s="12">
        <f t="shared" si="0"/>
        <v>0.25</v>
      </c>
      <c r="K20" s="63">
        <f t="shared" si="4"/>
        <v>145.125</v>
      </c>
      <c r="L20" s="19">
        <f t="shared" si="1"/>
        <v>2.4201965251182593E-4</v>
      </c>
      <c r="M20" s="80"/>
      <c r="N20" s="80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</row>
    <row r="21" spans="1:439" s="14" customFormat="1" x14ac:dyDescent="0.2">
      <c r="A21" s="88" t="s">
        <v>72</v>
      </c>
      <c r="B21" s="10" t="s">
        <v>32</v>
      </c>
      <c r="C21" s="93" t="s">
        <v>369</v>
      </c>
      <c r="D21" s="109" t="s">
        <v>1</v>
      </c>
      <c r="E21" s="110">
        <v>24</v>
      </c>
      <c r="F21" s="65">
        <v>5.08</v>
      </c>
      <c r="G21" s="123"/>
      <c r="H21" s="63">
        <f t="shared" ref="H21" si="5">F21+G21</f>
        <v>5.08</v>
      </c>
      <c r="I21" s="63">
        <f t="shared" ref="I21" si="6">E21*H21</f>
        <v>121.92</v>
      </c>
      <c r="J21" s="12">
        <f t="shared" si="0"/>
        <v>0.25</v>
      </c>
      <c r="K21" s="63">
        <f t="shared" ref="K21" si="7">I21*(1+J21)</f>
        <v>152.4</v>
      </c>
      <c r="L21" s="19">
        <f t="shared" si="1"/>
        <v>2.5415190382637224E-4</v>
      </c>
      <c r="M21" s="80"/>
      <c r="N21" s="80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</row>
    <row r="22" spans="1:439" s="14" customFormat="1" x14ac:dyDescent="0.2">
      <c r="A22" s="88" t="s">
        <v>72</v>
      </c>
      <c r="B22" s="10" t="s">
        <v>32</v>
      </c>
      <c r="C22" s="93" t="s">
        <v>52</v>
      </c>
      <c r="D22" s="109" t="s">
        <v>1</v>
      </c>
      <c r="E22" s="110">
        <f>30+56</f>
        <v>86</v>
      </c>
      <c r="F22" s="65">
        <v>0.54</v>
      </c>
      <c r="G22" s="123"/>
      <c r="H22" s="63">
        <f t="shared" si="2"/>
        <v>0.54</v>
      </c>
      <c r="I22" s="63">
        <f t="shared" si="3"/>
        <v>46.440000000000005</v>
      </c>
      <c r="J22" s="12">
        <f t="shared" si="0"/>
        <v>0.25</v>
      </c>
      <c r="K22" s="63">
        <f t="shared" si="4"/>
        <v>58.050000000000004</v>
      </c>
      <c r="L22" s="19">
        <f t="shared" si="1"/>
        <v>9.6807861004730386E-5</v>
      </c>
      <c r="M22" s="80"/>
      <c r="N22" s="80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</row>
    <row r="23" spans="1:439" s="14" customFormat="1" x14ac:dyDescent="0.2">
      <c r="A23" s="88" t="s">
        <v>73</v>
      </c>
      <c r="B23" s="10" t="s">
        <v>32</v>
      </c>
      <c r="C23" s="93" t="s">
        <v>53</v>
      </c>
      <c r="D23" s="109" t="s">
        <v>1</v>
      </c>
      <c r="E23" s="110">
        <v>38</v>
      </c>
      <c r="F23" s="65">
        <f>113.95*1.05</f>
        <v>119.64750000000001</v>
      </c>
      <c r="G23" s="123"/>
      <c r="H23" s="63">
        <f t="shared" si="2"/>
        <v>119.64750000000001</v>
      </c>
      <c r="I23" s="63">
        <f t="shared" si="3"/>
        <v>4546.6050000000005</v>
      </c>
      <c r="J23" s="12">
        <f t="shared" si="0"/>
        <v>0.25</v>
      </c>
      <c r="K23" s="63">
        <f t="shared" si="4"/>
        <v>5683.2562500000004</v>
      </c>
      <c r="L23" s="19">
        <f t="shared" si="1"/>
        <v>9.4777585030881174E-3</v>
      </c>
      <c r="M23" s="80"/>
      <c r="N23" s="80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</row>
    <row r="24" spans="1:439" s="14" customFormat="1" x14ac:dyDescent="0.2">
      <c r="A24" s="88" t="s">
        <v>74</v>
      </c>
      <c r="B24" s="10" t="s">
        <v>430</v>
      </c>
      <c r="C24" s="93" t="s">
        <v>370</v>
      </c>
      <c r="D24" s="109" t="s">
        <v>0</v>
      </c>
      <c r="E24" s="110">
        <f>800+800+800</f>
        <v>2400</v>
      </c>
      <c r="F24" s="65">
        <v>6.61</v>
      </c>
      <c r="G24" s="123">
        <v>3.03</v>
      </c>
      <c r="H24" s="63">
        <f t="shared" si="2"/>
        <v>9.64</v>
      </c>
      <c r="I24" s="63">
        <f t="shared" si="3"/>
        <v>23136</v>
      </c>
      <c r="J24" s="12">
        <f t="shared" si="0"/>
        <v>0.25</v>
      </c>
      <c r="K24" s="63">
        <f t="shared" si="4"/>
        <v>28920</v>
      </c>
      <c r="L24" s="19">
        <f t="shared" si="1"/>
        <v>4.8228825844217095E-2</v>
      </c>
      <c r="M24" s="80"/>
      <c r="N24" s="80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</row>
    <row r="25" spans="1:439" s="14" customFormat="1" x14ac:dyDescent="0.2">
      <c r="A25" s="88" t="s">
        <v>74</v>
      </c>
      <c r="B25" s="10" t="s">
        <v>340</v>
      </c>
      <c r="C25" s="93" t="s">
        <v>371</v>
      </c>
      <c r="D25" s="109" t="s">
        <v>0</v>
      </c>
      <c r="E25" s="110">
        <f>350+350</f>
        <v>700</v>
      </c>
      <c r="F25" s="65">
        <v>1.62</v>
      </c>
      <c r="G25" s="123">
        <v>1.18</v>
      </c>
      <c r="H25" s="63">
        <f t="shared" ref="H25" si="8">F25+G25</f>
        <v>2.8</v>
      </c>
      <c r="I25" s="63">
        <f t="shared" ref="I25" si="9">E25*H25</f>
        <v>1959.9999999999998</v>
      </c>
      <c r="J25" s="12">
        <f t="shared" si="0"/>
        <v>0.25</v>
      </c>
      <c r="K25" s="63">
        <f t="shared" ref="K25" si="10">I25*(1+J25)</f>
        <v>2449.9999999999995</v>
      </c>
      <c r="L25" s="19">
        <f t="shared" si="1"/>
        <v>4.0857753567887919E-3</v>
      </c>
      <c r="M25" s="80"/>
      <c r="N25" s="80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</row>
    <row r="26" spans="1:439" s="14" customFormat="1" x14ac:dyDescent="0.2">
      <c r="A26" s="88" t="s">
        <v>75</v>
      </c>
      <c r="B26" s="129" t="s">
        <v>44</v>
      </c>
      <c r="C26" s="93" t="s">
        <v>26</v>
      </c>
      <c r="D26" s="109" t="s">
        <v>18</v>
      </c>
      <c r="E26" s="110">
        <f>3+12</f>
        <v>15</v>
      </c>
      <c r="F26" s="65">
        <v>18.38</v>
      </c>
      <c r="G26" s="123">
        <v>13.55</v>
      </c>
      <c r="H26" s="63">
        <f t="shared" si="2"/>
        <v>31.93</v>
      </c>
      <c r="I26" s="63">
        <f t="shared" si="3"/>
        <v>478.95</v>
      </c>
      <c r="J26" s="12">
        <f t="shared" si="0"/>
        <v>0.25</v>
      </c>
      <c r="K26" s="63">
        <f t="shared" si="4"/>
        <v>598.6875</v>
      </c>
      <c r="L26" s="19">
        <f t="shared" si="1"/>
        <v>9.9840923833366944E-4</v>
      </c>
      <c r="M26" s="80"/>
      <c r="N26" s="80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</row>
    <row r="27" spans="1:439" s="14" customFormat="1" x14ac:dyDescent="0.2">
      <c r="A27" s="88" t="s">
        <v>76</v>
      </c>
      <c r="B27" s="10" t="s">
        <v>362</v>
      </c>
      <c r="C27" s="93" t="s">
        <v>372</v>
      </c>
      <c r="D27" s="109" t="s">
        <v>0</v>
      </c>
      <c r="E27" s="110">
        <v>180</v>
      </c>
      <c r="F27" s="65">
        <v>2.86</v>
      </c>
      <c r="G27" s="123">
        <f>50/1000*59</f>
        <v>2.95</v>
      </c>
      <c r="H27" s="63">
        <f t="shared" ref="H27" si="11">F27+G27</f>
        <v>5.8100000000000005</v>
      </c>
      <c r="I27" s="63">
        <f t="shared" ref="I27" si="12">E27*H27</f>
        <v>1045.8000000000002</v>
      </c>
      <c r="J27" s="12">
        <f t="shared" si="0"/>
        <v>0.25</v>
      </c>
      <c r="K27" s="63">
        <f t="shared" ref="K27" si="13">I27*(1+J27)</f>
        <v>1307.2500000000002</v>
      </c>
      <c r="L27" s="19">
        <f t="shared" si="1"/>
        <v>2.1800529939437346E-3</v>
      </c>
      <c r="M27" s="80"/>
      <c r="N27" s="80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</row>
    <row r="28" spans="1:439" s="14" customFormat="1" x14ac:dyDescent="0.2">
      <c r="A28" s="88" t="s">
        <v>76</v>
      </c>
      <c r="B28" s="10" t="s">
        <v>362</v>
      </c>
      <c r="C28" s="93" t="s">
        <v>373</v>
      </c>
      <c r="D28" s="109" t="s">
        <v>0</v>
      </c>
      <c r="E28" s="110">
        <v>60</v>
      </c>
      <c r="F28" s="65">
        <v>6.55</v>
      </c>
      <c r="G28" s="123">
        <f>50/1000*59</f>
        <v>2.95</v>
      </c>
      <c r="H28" s="63">
        <f t="shared" si="2"/>
        <v>9.5</v>
      </c>
      <c r="I28" s="63">
        <f t="shared" si="3"/>
        <v>570</v>
      </c>
      <c r="J28" s="12">
        <f t="shared" si="0"/>
        <v>0.25</v>
      </c>
      <c r="K28" s="63">
        <f t="shared" si="4"/>
        <v>712.5</v>
      </c>
      <c r="L28" s="19">
        <f t="shared" si="1"/>
        <v>1.1882101802906182E-3</v>
      </c>
      <c r="M28" s="80"/>
      <c r="N28" s="80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</row>
    <row r="29" spans="1:439" s="14" customFormat="1" x14ac:dyDescent="0.2">
      <c r="A29" s="88" t="s">
        <v>77</v>
      </c>
      <c r="B29" s="10" t="s">
        <v>433</v>
      </c>
      <c r="C29" s="93" t="s">
        <v>374</v>
      </c>
      <c r="D29" s="109" t="s">
        <v>0</v>
      </c>
      <c r="E29" s="110">
        <v>120</v>
      </c>
      <c r="F29" s="65">
        <v>20.34</v>
      </c>
      <c r="G29" s="123">
        <f>55/1000*59</f>
        <v>3.2450000000000001</v>
      </c>
      <c r="H29" s="63">
        <f t="shared" si="2"/>
        <v>23.585000000000001</v>
      </c>
      <c r="I29" s="63">
        <f t="shared" si="3"/>
        <v>2830.2000000000003</v>
      </c>
      <c r="J29" s="12">
        <f t="shared" si="0"/>
        <v>0.25</v>
      </c>
      <c r="K29" s="63">
        <f t="shared" si="4"/>
        <v>3537.7500000000005</v>
      </c>
      <c r="L29" s="19">
        <f t="shared" si="1"/>
        <v>5.8997762320324712E-3</v>
      </c>
      <c r="M29" s="80"/>
      <c r="N29" s="80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</row>
    <row r="30" spans="1:439" s="14" customFormat="1" x14ac:dyDescent="0.2">
      <c r="A30" s="88" t="s">
        <v>77</v>
      </c>
      <c r="B30" s="10" t="s">
        <v>431</v>
      </c>
      <c r="C30" s="93" t="s">
        <v>403</v>
      </c>
      <c r="D30" s="109" t="s">
        <v>1</v>
      </c>
      <c r="E30" s="110">
        <v>15</v>
      </c>
      <c r="F30" s="65">
        <f>493.95-G30</f>
        <v>209.32</v>
      </c>
      <c r="G30" s="65">
        <v>284.63</v>
      </c>
      <c r="H30" s="63">
        <f t="shared" ref="H30" si="14">F30+G30</f>
        <v>493.95</v>
      </c>
      <c r="I30" s="63">
        <f t="shared" ref="I30" si="15">E30*H30</f>
        <v>7409.25</v>
      </c>
      <c r="J30" s="12">
        <f t="shared" si="0"/>
        <v>0.25</v>
      </c>
      <c r="K30" s="63">
        <f t="shared" ref="K30" si="16">I30*(1+J30)</f>
        <v>9261.5625</v>
      </c>
      <c r="L30" s="19">
        <f t="shared" si="1"/>
        <v>1.5445168909330287E-2</v>
      </c>
      <c r="M30" s="80"/>
      <c r="N30" s="80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</row>
    <row r="31" spans="1:439" s="14" customFormat="1" x14ac:dyDescent="0.2">
      <c r="A31" s="88" t="s">
        <v>77</v>
      </c>
      <c r="B31" s="10" t="s">
        <v>432</v>
      </c>
      <c r="C31" s="93" t="s">
        <v>402</v>
      </c>
      <c r="D31" s="109" t="s">
        <v>1</v>
      </c>
      <c r="E31" s="110">
        <v>29</v>
      </c>
      <c r="F31" s="65">
        <f>564.46-G31</f>
        <v>259.90000000000003</v>
      </c>
      <c r="G31" s="65">
        <v>304.56</v>
      </c>
      <c r="H31" s="63">
        <f t="shared" ref="H31" si="17">F31+G31</f>
        <v>564.46</v>
      </c>
      <c r="I31" s="63">
        <f t="shared" ref="I31" si="18">E31*H31</f>
        <v>16369.34</v>
      </c>
      <c r="J31" s="12">
        <f t="shared" si="0"/>
        <v>0.25</v>
      </c>
      <c r="K31" s="63">
        <f t="shared" ref="K31" si="19">I31*(1+J31)</f>
        <v>20461.674999999999</v>
      </c>
      <c r="L31" s="19">
        <f t="shared" si="1"/>
        <v>3.4123186723927071E-2</v>
      </c>
      <c r="M31" s="80"/>
      <c r="N31" s="80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</row>
    <row r="32" spans="1:439" s="14" customFormat="1" x14ac:dyDescent="0.2">
      <c r="A32" s="88" t="s">
        <v>357</v>
      </c>
      <c r="B32" s="129" t="s">
        <v>467</v>
      </c>
      <c r="C32" s="93" t="s">
        <v>375</v>
      </c>
      <c r="D32" s="109" t="s">
        <v>1</v>
      </c>
      <c r="E32" s="110">
        <v>5</v>
      </c>
      <c r="F32" s="65">
        <v>787.9</v>
      </c>
      <c r="G32" s="123">
        <f>0.5*59</f>
        <v>29.5</v>
      </c>
      <c r="H32" s="63">
        <f t="shared" ref="H32:H36" si="20">F32+G32</f>
        <v>817.4</v>
      </c>
      <c r="I32" s="63">
        <f t="shared" ref="I32:I36" si="21">E32*H32</f>
        <v>4087</v>
      </c>
      <c r="J32" s="12">
        <f t="shared" si="0"/>
        <v>0.25</v>
      </c>
      <c r="K32" s="63">
        <f t="shared" ref="K32:K36" si="22">I32*(1+J32)</f>
        <v>5108.75</v>
      </c>
      <c r="L32" s="19">
        <f t="shared" si="1"/>
        <v>8.5196754506101004E-3</v>
      </c>
      <c r="M32" s="80"/>
      <c r="N32" s="80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</row>
    <row r="33" spans="1:439" s="14" customFormat="1" x14ac:dyDescent="0.2">
      <c r="A33" s="88" t="s">
        <v>357</v>
      </c>
      <c r="B33" s="129" t="s">
        <v>467</v>
      </c>
      <c r="C33" s="93" t="s">
        <v>376</v>
      </c>
      <c r="D33" s="109" t="s">
        <v>1</v>
      </c>
      <c r="E33" s="110">
        <v>1</v>
      </c>
      <c r="F33" s="65">
        <v>787.9</v>
      </c>
      <c r="G33" s="123">
        <f>0.5*59</f>
        <v>29.5</v>
      </c>
      <c r="H33" s="63">
        <f t="shared" si="20"/>
        <v>817.4</v>
      </c>
      <c r="I33" s="63">
        <f t="shared" si="21"/>
        <v>817.4</v>
      </c>
      <c r="J33" s="12">
        <f t="shared" si="0"/>
        <v>0.25</v>
      </c>
      <c r="K33" s="63">
        <f t="shared" si="22"/>
        <v>1021.75</v>
      </c>
      <c r="L33" s="19">
        <f t="shared" si="1"/>
        <v>1.70393509012202E-3</v>
      </c>
      <c r="M33" s="80"/>
      <c r="N33" s="80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</row>
    <row r="34" spans="1:439" s="14" customFormat="1" x14ac:dyDescent="0.2">
      <c r="A34" s="88" t="s">
        <v>357</v>
      </c>
      <c r="B34" s="129" t="s">
        <v>440</v>
      </c>
      <c r="C34" s="93" t="s">
        <v>377</v>
      </c>
      <c r="D34" s="109" t="s">
        <v>1</v>
      </c>
      <c r="E34" s="110">
        <v>148</v>
      </c>
      <c r="F34" s="65">
        <f>117.22/4</f>
        <v>29.305</v>
      </c>
      <c r="G34" s="123"/>
      <c r="H34" s="63">
        <f t="shared" si="20"/>
        <v>29.305</v>
      </c>
      <c r="I34" s="63">
        <f t="shared" si="21"/>
        <v>4337.1400000000003</v>
      </c>
      <c r="J34" s="12">
        <f t="shared" si="0"/>
        <v>0.25</v>
      </c>
      <c r="K34" s="63">
        <f t="shared" si="22"/>
        <v>5421.4250000000002</v>
      </c>
      <c r="L34" s="19">
        <f t="shared" si="1"/>
        <v>9.0411121076239519E-3</v>
      </c>
      <c r="M34" s="80"/>
      <c r="N34" s="80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</row>
    <row r="35" spans="1:439" s="14" customFormat="1" x14ac:dyDescent="0.2">
      <c r="A35" s="88" t="s">
        <v>78</v>
      </c>
      <c r="B35" s="129" t="s">
        <v>427</v>
      </c>
      <c r="C35" s="93" t="s">
        <v>378</v>
      </c>
      <c r="D35" s="109" t="s">
        <v>1</v>
      </c>
      <c r="E35" s="110">
        <v>2</v>
      </c>
      <c r="F35" s="65">
        <f>32.19/210*190</f>
        <v>29.124285714285712</v>
      </c>
      <c r="G35" s="123"/>
      <c r="H35" s="63">
        <f t="shared" si="20"/>
        <v>29.124285714285712</v>
      </c>
      <c r="I35" s="63">
        <f t="shared" si="21"/>
        <v>58.248571428571424</v>
      </c>
      <c r="J35" s="12">
        <f t="shared" si="0"/>
        <v>0.25</v>
      </c>
      <c r="K35" s="63">
        <f t="shared" si="22"/>
        <v>72.810714285714283</v>
      </c>
      <c r="L35" s="19">
        <f t="shared" si="1"/>
        <v>1.2142376413826985E-4</v>
      </c>
      <c r="M35" s="80"/>
      <c r="N35" s="80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</row>
    <row r="36" spans="1:439" s="14" customFormat="1" x14ac:dyDescent="0.2">
      <c r="A36" s="88" t="s">
        <v>79</v>
      </c>
      <c r="B36" s="129" t="s">
        <v>427</v>
      </c>
      <c r="C36" s="93" t="s">
        <v>61</v>
      </c>
      <c r="D36" s="109" t="s">
        <v>1</v>
      </c>
      <c r="E36" s="110">
        <f>3+6</f>
        <v>9</v>
      </c>
      <c r="F36" s="65">
        <f>32.19/210*200</f>
        <v>30.657142857142855</v>
      </c>
      <c r="G36" s="123"/>
      <c r="H36" s="63">
        <f t="shared" si="20"/>
        <v>30.657142857142855</v>
      </c>
      <c r="I36" s="63">
        <f t="shared" si="21"/>
        <v>275.91428571428571</v>
      </c>
      <c r="J36" s="12">
        <f t="shared" si="0"/>
        <v>0.25</v>
      </c>
      <c r="K36" s="63">
        <f t="shared" si="22"/>
        <v>344.89285714285711</v>
      </c>
      <c r="L36" s="19">
        <f t="shared" si="1"/>
        <v>5.7516519854969924E-4</v>
      </c>
      <c r="M36" s="80"/>
      <c r="N36" s="80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/>
      <c r="PM36" s="13"/>
      <c r="PN36" s="13"/>
      <c r="PO36" s="13"/>
      <c r="PP36" s="13"/>
      <c r="PQ36" s="13"/>
      <c r="PR36" s="13"/>
      <c r="PS36" s="13"/>
      <c r="PT36" s="13"/>
      <c r="PU36" s="13"/>
      <c r="PV36" s="13"/>
      <c r="PW36" s="13"/>
    </row>
    <row r="37" spans="1:439" s="14" customFormat="1" x14ac:dyDescent="0.2">
      <c r="A37" s="88" t="s">
        <v>80</v>
      </c>
      <c r="B37" s="129" t="s">
        <v>427</v>
      </c>
      <c r="C37" s="93" t="s">
        <v>62</v>
      </c>
      <c r="D37" s="109" t="s">
        <v>1</v>
      </c>
      <c r="E37" s="110">
        <v>3</v>
      </c>
      <c r="F37" s="65">
        <f>32.19/210*210</f>
        <v>32.19</v>
      </c>
      <c r="G37" s="123"/>
      <c r="H37" s="63">
        <f t="shared" ref="H37:H80" si="23">F37+G37</f>
        <v>32.19</v>
      </c>
      <c r="I37" s="63">
        <f t="shared" ref="I37:I80" si="24">E37*H37</f>
        <v>96.57</v>
      </c>
      <c r="J37" s="12">
        <f t="shared" si="0"/>
        <v>0.25</v>
      </c>
      <c r="K37" s="63">
        <f t="shared" ref="K37:K80" si="25">I37*(1+J37)</f>
        <v>120.71249999999999</v>
      </c>
      <c r="L37" s="19">
        <f t="shared" si="1"/>
        <v>2.0130781949239475E-4</v>
      </c>
      <c r="M37" s="80"/>
      <c r="N37" s="80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</row>
    <row r="38" spans="1:439" s="14" customFormat="1" x14ac:dyDescent="0.2">
      <c r="A38" s="88" t="s">
        <v>81</v>
      </c>
      <c r="B38" s="129" t="s">
        <v>427</v>
      </c>
      <c r="C38" s="93" t="s">
        <v>63</v>
      </c>
      <c r="D38" s="109" t="s">
        <v>1</v>
      </c>
      <c r="E38" s="110">
        <v>14</v>
      </c>
      <c r="F38" s="65">
        <f>32.19/210*220</f>
        <v>33.722857142857137</v>
      </c>
      <c r="G38" s="123"/>
      <c r="H38" s="63">
        <f t="shared" si="23"/>
        <v>33.722857142857137</v>
      </c>
      <c r="I38" s="63">
        <f t="shared" si="24"/>
        <v>472.11999999999989</v>
      </c>
      <c r="J38" s="12">
        <f t="shared" si="0"/>
        <v>0.25</v>
      </c>
      <c r="K38" s="63">
        <f t="shared" si="25"/>
        <v>590.14999999999986</v>
      </c>
      <c r="L38" s="19">
        <f t="shared" si="1"/>
        <v>9.8417156196281856E-4</v>
      </c>
      <c r="M38" s="80"/>
      <c r="N38" s="80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</row>
    <row r="39" spans="1:439" s="14" customFormat="1" x14ac:dyDescent="0.2">
      <c r="A39" s="88" t="s">
        <v>82</v>
      </c>
      <c r="B39" s="129" t="s">
        <v>427</v>
      </c>
      <c r="C39" s="93" t="s">
        <v>27</v>
      </c>
      <c r="D39" s="109" t="s">
        <v>1</v>
      </c>
      <c r="E39" s="110">
        <v>4</v>
      </c>
      <c r="F39" s="65">
        <f>32.19/210*240</f>
        <v>36.788571428571423</v>
      </c>
      <c r="G39" s="123"/>
      <c r="H39" s="63">
        <f t="shared" si="23"/>
        <v>36.788571428571423</v>
      </c>
      <c r="I39" s="63">
        <f t="shared" si="24"/>
        <v>147.15428571428569</v>
      </c>
      <c r="J39" s="12">
        <f t="shared" si="0"/>
        <v>0.25</v>
      </c>
      <c r="K39" s="63">
        <f t="shared" si="25"/>
        <v>183.94285714285712</v>
      </c>
      <c r="L39" s="19">
        <f t="shared" si="1"/>
        <v>3.0675477255983957E-4</v>
      </c>
      <c r="M39" s="80"/>
      <c r="N39" s="80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</row>
    <row r="40" spans="1:439" s="14" customFormat="1" x14ac:dyDescent="0.2">
      <c r="A40" s="88" t="s">
        <v>83</v>
      </c>
      <c r="B40" s="129" t="s">
        <v>427</v>
      </c>
      <c r="C40" s="93" t="s">
        <v>379</v>
      </c>
      <c r="D40" s="109" t="s">
        <v>1</v>
      </c>
      <c r="E40" s="110">
        <v>4</v>
      </c>
      <c r="F40" s="65">
        <f>32.19/210*260</f>
        <v>39.854285714285709</v>
      </c>
      <c r="G40" s="123"/>
      <c r="H40" s="63">
        <f t="shared" si="23"/>
        <v>39.854285714285709</v>
      </c>
      <c r="I40" s="63">
        <f t="shared" si="24"/>
        <v>159.41714285714284</v>
      </c>
      <c r="J40" s="12">
        <f t="shared" si="0"/>
        <v>0.25</v>
      </c>
      <c r="K40" s="63">
        <f t="shared" si="25"/>
        <v>199.27142857142854</v>
      </c>
      <c r="L40" s="19">
        <f t="shared" si="1"/>
        <v>3.3231767027315956E-4</v>
      </c>
      <c r="M40" s="80"/>
      <c r="N40" s="80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</row>
    <row r="41" spans="1:439" s="14" customFormat="1" x14ac:dyDescent="0.2">
      <c r="A41" s="88" t="s">
        <v>83</v>
      </c>
      <c r="B41" s="129" t="s">
        <v>427</v>
      </c>
      <c r="C41" s="93" t="s">
        <v>380</v>
      </c>
      <c r="D41" s="109" t="s">
        <v>1</v>
      </c>
      <c r="E41" s="110">
        <v>4</v>
      </c>
      <c r="F41" s="65">
        <f>32.19/210*280</f>
        <v>42.919999999999995</v>
      </c>
      <c r="G41" s="123"/>
      <c r="H41" s="63">
        <f t="shared" ref="H41:H42" si="26">F41+G41</f>
        <v>42.919999999999995</v>
      </c>
      <c r="I41" s="63">
        <f t="shared" ref="I41:I42" si="27">E41*H41</f>
        <v>171.67999999999998</v>
      </c>
      <c r="J41" s="12">
        <f t="shared" si="0"/>
        <v>0.25</v>
      </c>
      <c r="K41" s="63">
        <f t="shared" ref="K41:K42" si="28">I41*(1+J41)</f>
        <v>214.59999999999997</v>
      </c>
      <c r="L41" s="19">
        <f t="shared" si="1"/>
        <v>3.578805679864795E-4</v>
      </c>
      <c r="M41" s="80"/>
      <c r="N41" s="80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  <c r="IZ41" s="13"/>
      <c r="JA41" s="13"/>
      <c r="JB41" s="13"/>
      <c r="JC41" s="13"/>
      <c r="JD41" s="13"/>
      <c r="JE41" s="13"/>
      <c r="JF41" s="13"/>
      <c r="JG41" s="13"/>
      <c r="JH41" s="13"/>
      <c r="JI41" s="13"/>
      <c r="JJ41" s="13"/>
      <c r="JK41" s="13"/>
      <c r="JL41" s="13"/>
      <c r="JM41" s="13"/>
      <c r="JN41" s="13"/>
      <c r="JO41" s="13"/>
      <c r="JP41" s="13"/>
      <c r="JQ41" s="13"/>
      <c r="JR41" s="13"/>
      <c r="JS41" s="13"/>
      <c r="JT41" s="13"/>
      <c r="JU41" s="13"/>
      <c r="JV41" s="13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  <c r="NQ41" s="13"/>
      <c r="NR41" s="13"/>
      <c r="NS41" s="13"/>
      <c r="NT41" s="13"/>
      <c r="NU41" s="13"/>
      <c r="NV41" s="13"/>
      <c r="NW41" s="13"/>
      <c r="NX41" s="13"/>
      <c r="NY41" s="13"/>
      <c r="NZ41" s="13"/>
      <c r="OA41" s="13"/>
      <c r="OB41" s="13"/>
      <c r="OC41" s="13"/>
      <c r="OD41" s="13"/>
      <c r="OE41" s="13"/>
      <c r="OF41" s="13"/>
      <c r="OG41" s="13"/>
      <c r="OH41" s="13"/>
      <c r="OI41" s="13"/>
      <c r="OJ41" s="13"/>
      <c r="OK41" s="13"/>
      <c r="OL41" s="13"/>
      <c r="OM41" s="13"/>
      <c r="ON41" s="13"/>
      <c r="OO41" s="13"/>
      <c r="OP41" s="13"/>
      <c r="OQ41" s="13"/>
      <c r="OR41" s="13"/>
      <c r="OS41" s="13"/>
      <c r="OT41" s="13"/>
      <c r="OU41" s="13"/>
      <c r="OV41" s="13"/>
      <c r="OW41" s="13"/>
      <c r="OX41" s="13"/>
      <c r="OY41" s="13"/>
      <c r="OZ41" s="13"/>
      <c r="PA41" s="13"/>
      <c r="PB41" s="13"/>
      <c r="PC41" s="13"/>
      <c r="PD41" s="13"/>
      <c r="PE41" s="13"/>
      <c r="PF41" s="13"/>
      <c r="PG41" s="13"/>
      <c r="PH41" s="13"/>
      <c r="PI41" s="13"/>
      <c r="PJ41" s="13"/>
      <c r="PK41" s="13"/>
      <c r="PL41" s="13"/>
      <c r="PM41" s="13"/>
      <c r="PN41" s="13"/>
      <c r="PO41" s="13"/>
      <c r="PP41" s="13"/>
      <c r="PQ41" s="13"/>
      <c r="PR41" s="13"/>
      <c r="PS41" s="13"/>
      <c r="PT41" s="13"/>
      <c r="PU41" s="13"/>
      <c r="PV41" s="13"/>
      <c r="PW41" s="13"/>
    </row>
    <row r="42" spans="1:439" s="14" customFormat="1" x14ac:dyDescent="0.2">
      <c r="A42" s="88" t="s">
        <v>83</v>
      </c>
      <c r="B42" s="10" t="s">
        <v>326</v>
      </c>
      <c r="C42" s="93" t="s">
        <v>328</v>
      </c>
      <c r="D42" s="109" t="s">
        <v>1</v>
      </c>
      <c r="E42" s="110">
        <v>12</v>
      </c>
      <c r="F42" s="65">
        <v>6.97</v>
      </c>
      <c r="G42" s="65">
        <f t="shared" ref="G42:G52" si="29">0.5*59</f>
        <v>29.5</v>
      </c>
      <c r="H42" s="63">
        <f t="shared" si="26"/>
        <v>36.47</v>
      </c>
      <c r="I42" s="63">
        <f t="shared" si="27"/>
        <v>437.64</v>
      </c>
      <c r="J42" s="12">
        <f t="shared" si="0"/>
        <v>0.25</v>
      </c>
      <c r="K42" s="63">
        <f t="shared" si="28"/>
        <v>547.04999999999995</v>
      </c>
      <c r="L42" s="19">
        <f t="shared" si="1"/>
        <v>9.1229526895155464E-4</v>
      </c>
      <c r="M42" s="80"/>
      <c r="N42" s="80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</row>
    <row r="43" spans="1:439" s="14" customFormat="1" x14ac:dyDescent="0.2">
      <c r="A43" s="88" t="s">
        <v>84</v>
      </c>
      <c r="B43" s="10" t="s">
        <v>326</v>
      </c>
      <c r="C43" s="93" t="s">
        <v>329</v>
      </c>
      <c r="D43" s="109" t="s">
        <v>1</v>
      </c>
      <c r="E43" s="110">
        <v>3</v>
      </c>
      <c r="F43" s="65">
        <v>3.35</v>
      </c>
      <c r="G43" s="65">
        <f t="shared" si="29"/>
        <v>29.5</v>
      </c>
      <c r="H43" s="63">
        <f t="shared" si="23"/>
        <v>32.85</v>
      </c>
      <c r="I43" s="63">
        <f t="shared" si="24"/>
        <v>98.550000000000011</v>
      </c>
      <c r="J43" s="12">
        <f t="shared" si="0"/>
        <v>0.25</v>
      </c>
      <c r="K43" s="63">
        <f t="shared" si="25"/>
        <v>123.18750000000001</v>
      </c>
      <c r="L43" s="19">
        <f t="shared" si="1"/>
        <v>2.0543528643445692E-4</v>
      </c>
      <c r="M43" s="80"/>
      <c r="N43" s="80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  <c r="IZ43" s="13"/>
      <c r="JA43" s="13"/>
      <c r="JB43" s="13"/>
      <c r="JC43" s="13"/>
      <c r="JD43" s="13"/>
      <c r="JE43" s="13"/>
      <c r="JF43" s="13"/>
      <c r="JG43" s="13"/>
      <c r="JH43" s="13"/>
      <c r="JI43" s="13"/>
      <c r="JJ43" s="13"/>
      <c r="JK43" s="13"/>
      <c r="JL43" s="13"/>
      <c r="JM43" s="13"/>
      <c r="JN43" s="13"/>
      <c r="JO43" s="13"/>
      <c r="JP43" s="13"/>
      <c r="JQ43" s="13"/>
      <c r="JR43" s="13"/>
      <c r="JS43" s="13"/>
      <c r="JT43" s="13"/>
      <c r="JU43" s="13"/>
      <c r="JV43" s="13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  <c r="MS43" s="13"/>
      <c r="MT43" s="13"/>
      <c r="MU43" s="13"/>
      <c r="MV43" s="13"/>
      <c r="MW43" s="13"/>
      <c r="MX43" s="13"/>
      <c r="MY43" s="13"/>
      <c r="MZ43" s="13"/>
      <c r="NA43" s="13"/>
      <c r="NB43" s="13"/>
      <c r="NC43" s="13"/>
      <c r="ND43" s="13"/>
      <c r="NE43" s="13"/>
      <c r="NF43" s="13"/>
      <c r="NG43" s="13"/>
      <c r="NH43" s="13"/>
      <c r="NI43" s="13"/>
      <c r="NJ43" s="13"/>
      <c r="NK43" s="13"/>
      <c r="NL43" s="13"/>
      <c r="NM43" s="13"/>
      <c r="NN43" s="13"/>
      <c r="NO43" s="13"/>
      <c r="NP43" s="13"/>
      <c r="NQ43" s="13"/>
      <c r="NR43" s="13"/>
      <c r="NS43" s="13"/>
      <c r="NT43" s="13"/>
      <c r="NU43" s="13"/>
      <c r="NV43" s="13"/>
      <c r="NW43" s="13"/>
      <c r="NX43" s="13"/>
      <c r="NY43" s="13"/>
      <c r="NZ43" s="13"/>
      <c r="OA43" s="13"/>
      <c r="OB43" s="13"/>
      <c r="OC43" s="13"/>
      <c r="OD43" s="13"/>
      <c r="OE43" s="13"/>
      <c r="OF43" s="13"/>
      <c r="OG43" s="13"/>
      <c r="OH43" s="13"/>
      <c r="OI43" s="13"/>
      <c r="OJ43" s="13"/>
      <c r="OK43" s="13"/>
      <c r="OL43" s="13"/>
      <c r="OM43" s="13"/>
      <c r="ON43" s="13"/>
      <c r="OO43" s="13"/>
      <c r="OP43" s="13"/>
      <c r="OQ43" s="13"/>
      <c r="OR43" s="13"/>
      <c r="OS43" s="13"/>
      <c r="OT43" s="13"/>
      <c r="OU43" s="13"/>
      <c r="OV43" s="13"/>
      <c r="OW43" s="13"/>
      <c r="OX43" s="13"/>
      <c r="OY43" s="13"/>
      <c r="OZ43" s="13"/>
      <c r="PA43" s="13"/>
      <c r="PB43" s="13"/>
      <c r="PC43" s="13"/>
      <c r="PD43" s="13"/>
      <c r="PE43" s="13"/>
      <c r="PF43" s="13"/>
      <c r="PG43" s="13"/>
      <c r="PH43" s="13"/>
      <c r="PI43" s="13"/>
      <c r="PJ43" s="13"/>
      <c r="PK43" s="13"/>
      <c r="PL43" s="13"/>
      <c r="PM43" s="13"/>
      <c r="PN43" s="13"/>
      <c r="PO43" s="13"/>
      <c r="PP43" s="13"/>
      <c r="PQ43" s="13"/>
      <c r="PR43" s="13"/>
      <c r="PS43" s="13"/>
      <c r="PT43" s="13"/>
      <c r="PU43" s="13"/>
      <c r="PV43" s="13"/>
      <c r="PW43" s="13"/>
    </row>
    <row r="44" spans="1:439" s="14" customFormat="1" x14ac:dyDescent="0.2">
      <c r="A44" s="88" t="s">
        <v>85</v>
      </c>
      <c r="B44" s="10" t="s">
        <v>326</v>
      </c>
      <c r="C44" s="93" t="s">
        <v>330</v>
      </c>
      <c r="D44" s="109" t="s">
        <v>1</v>
      </c>
      <c r="E44" s="110">
        <v>6</v>
      </c>
      <c r="F44" s="65">
        <v>6.97</v>
      </c>
      <c r="G44" s="65">
        <f t="shared" si="29"/>
        <v>29.5</v>
      </c>
      <c r="H44" s="63">
        <f t="shared" si="23"/>
        <v>36.47</v>
      </c>
      <c r="I44" s="63">
        <f t="shared" si="24"/>
        <v>218.82</v>
      </c>
      <c r="J44" s="12">
        <f t="shared" si="0"/>
        <v>0.25</v>
      </c>
      <c r="K44" s="63">
        <f t="shared" si="25"/>
        <v>273.52499999999998</v>
      </c>
      <c r="L44" s="19">
        <f t="shared" si="1"/>
        <v>4.5614763447577732E-4</v>
      </c>
      <c r="M44" s="80"/>
      <c r="N44" s="80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  <c r="NQ44" s="13"/>
      <c r="NR44" s="13"/>
      <c r="NS44" s="13"/>
      <c r="NT44" s="13"/>
      <c r="NU44" s="13"/>
      <c r="NV44" s="13"/>
      <c r="NW44" s="13"/>
      <c r="NX44" s="13"/>
      <c r="NY44" s="13"/>
      <c r="NZ44" s="13"/>
      <c r="OA44" s="13"/>
      <c r="OB44" s="13"/>
      <c r="OC44" s="13"/>
      <c r="OD44" s="13"/>
      <c r="OE44" s="13"/>
      <c r="OF44" s="13"/>
      <c r="OG44" s="13"/>
      <c r="OH44" s="13"/>
      <c r="OI44" s="13"/>
      <c r="OJ44" s="13"/>
      <c r="OK44" s="13"/>
      <c r="OL44" s="13"/>
      <c r="OM44" s="13"/>
      <c r="ON44" s="13"/>
      <c r="OO44" s="13"/>
      <c r="OP44" s="13"/>
      <c r="OQ44" s="13"/>
      <c r="OR44" s="13"/>
      <c r="OS44" s="13"/>
      <c r="OT44" s="13"/>
      <c r="OU44" s="13"/>
      <c r="OV44" s="13"/>
      <c r="OW44" s="13"/>
      <c r="OX44" s="13"/>
      <c r="OY44" s="13"/>
      <c r="OZ44" s="13"/>
      <c r="PA44" s="13"/>
      <c r="PB44" s="13"/>
      <c r="PC44" s="13"/>
      <c r="PD44" s="13"/>
      <c r="PE44" s="13"/>
      <c r="PF44" s="13"/>
      <c r="PG44" s="13"/>
      <c r="PH44" s="13"/>
      <c r="PI44" s="13"/>
      <c r="PJ44" s="13"/>
      <c r="PK44" s="13"/>
      <c r="PL44" s="13"/>
      <c r="PM44" s="13"/>
      <c r="PN44" s="13"/>
      <c r="PO44" s="13"/>
      <c r="PP44" s="13"/>
      <c r="PQ44" s="13"/>
      <c r="PR44" s="13"/>
      <c r="PS44" s="13"/>
      <c r="PT44" s="13"/>
      <c r="PU44" s="13"/>
      <c r="PV44" s="13"/>
      <c r="PW44" s="13"/>
    </row>
    <row r="45" spans="1:439" s="14" customFormat="1" x14ac:dyDescent="0.2">
      <c r="A45" s="88" t="s">
        <v>86</v>
      </c>
      <c r="B45" s="10" t="s">
        <v>326</v>
      </c>
      <c r="C45" s="93" t="s">
        <v>331</v>
      </c>
      <c r="D45" s="109" t="s">
        <v>1</v>
      </c>
      <c r="E45" s="110">
        <v>7</v>
      </c>
      <c r="F45" s="65">
        <v>3.35</v>
      </c>
      <c r="G45" s="65">
        <f t="shared" si="29"/>
        <v>29.5</v>
      </c>
      <c r="H45" s="63">
        <f t="shared" si="23"/>
        <v>32.85</v>
      </c>
      <c r="I45" s="63">
        <f t="shared" si="24"/>
        <v>229.95000000000002</v>
      </c>
      <c r="J45" s="12">
        <f t="shared" si="0"/>
        <v>0.25</v>
      </c>
      <c r="K45" s="63">
        <f t="shared" si="25"/>
        <v>287.4375</v>
      </c>
      <c r="L45" s="19">
        <f t="shared" si="1"/>
        <v>4.7934900168039943E-4</v>
      </c>
      <c r="M45" s="80"/>
      <c r="N45" s="80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  <c r="IZ45" s="13"/>
      <c r="JA45" s="13"/>
      <c r="JB45" s="13"/>
      <c r="JC45" s="13"/>
      <c r="JD45" s="13"/>
      <c r="JE45" s="13"/>
      <c r="JF45" s="13"/>
      <c r="JG45" s="13"/>
      <c r="JH45" s="13"/>
      <c r="JI45" s="13"/>
      <c r="JJ45" s="13"/>
      <c r="JK45" s="13"/>
      <c r="JL45" s="13"/>
      <c r="JM45" s="13"/>
      <c r="JN45" s="13"/>
      <c r="JO45" s="13"/>
      <c r="JP45" s="13"/>
      <c r="JQ45" s="13"/>
      <c r="JR45" s="13"/>
      <c r="JS45" s="13"/>
      <c r="JT45" s="13"/>
      <c r="JU45" s="13"/>
      <c r="JV45" s="13"/>
      <c r="JW45" s="13"/>
      <c r="JX45" s="13"/>
      <c r="JY45" s="13"/>
      <c r="JZ45" s="13"/>
      <c r="KA45" s="13"/>
      <c r="KB45" s="13"/>
      <c r="KC45" s="13"/>
      <c r="KD45" s="13"/>
      <c r="KE45" s="13"/>
      <c r="KF45" s="13"/>
      <c r="KG45" s="13"/>
      <c r="KH45" s="13"/>
      <c r="KI45" s="13"/>
      <c r="KJ45" s="13"/>
      <c r="KK45" s="13"/>
      <c r="KL45" s="13"/>
      <c r="KM45" s="13"/>
      <c r="KN45" s="13"/>
      <c r="KO45" s="13"/>
      <c r="KP45" s="13"/>
      <c r="KQ45" s="13"/>
      <c r="KR45" s="13"/>
      <c r="KS45" s="13"/>
      <c r="KT45" s="13"/>
      <c r="KU45" s="13"/>
      <c r="KV45" s="13"/>
      <c r="KW45" s="13"/>
      <c r="KX45" s="13"/>
      <c r="KY45" s="13"/>
      <c r="KZ45" s="13"/>
      <c r="LA45" s="13"/>
      <c r="LB45" s="13"/>
      <c r="LC45" s="13"/>
      <c r="LD45" s="13"/>
      <c r="LE45" s="13"/>
      <c r="LF45" s="13"/>
      <c r="LG45" s="13"/>
      <c r="LH45" s="13"/>
      <c r="LI45" s="13"/>
      <c r="LJ45" s="13"/>
      <c r="LK45" s="13"/>
      <c r="LL45" s="13"/>
      <c r="LM45" s="13"/>
      <c r="LN45" s="13"/>
      <c r="LO45" s="13"/>
      <c r="LP45" s="13"/>
      <c r="LQ45" s="13"/>
      <c r="LR45" s="13"/>
      <c r="LS45" s="13"/>
      <c r="LT45" s="13"/>
      <c r="LU45" s="13"/>
      <c r="LV45" s="13"/>
      <c r="LW45" s="13"/>
      <c r="LX45" s="13"/>
      <c r="LY45" s="13"/>
      <c r="LZ45" s="13"/>
      <c r="MA45" s="13"/>
      <c r="MB45" s="13"/>
      <c r="MC45" s="13"/>
      <c r="MD45" s="13"/>
      <c r="ME45" s="13"/>
      <c r="MF45" s="13"/>
      <c r="MG45" s="13"/>
      <c r="MH45" s="13"/>
      <c r="MI45" s="13"/>
      <c r="MJ45" s="13"/>
      <c r="MK45" s="13"/>
      <c r="ML45" s="13"/>
      <c r="MM45" s="13"/>
      <c r="MN45" s="13"/>
      <c r="MO45" s="13"/>
      <c r="MP45" s="13"/>
      <c r="MQ45" s="13"/>
      <c r="MR45" s="13"/>
      <c r="MS45" s="13"/>
      <c r="MT45" s="13"/>
      <c r="MU45" s="13"/>
      <c r="MV45" s="13"/>
      <c r="MW45" s="13"/>
      <c r="MX45" s="13"/>
      <c r="MY45" s="13"/>
      <c r="MZ45" s="13"/>
      <c r="NA45" s="13"/>
      <c r="NB45" s="13"/>
      <c r="NC45" s="13"/>
      <c r="ND45" s="13"/>
      <c r="NE45" s="13"/>
      <c r="NF45" s="13"/>
      <c r="NG45" s="13"/>
      <c r="NH45" s="13"/>
      <c r="NI45" s="13"/>
      <c r="NJ45" s="13"/>
      <c r="NK45" s="13"/>
      <c r="NL45" s="13"/>
      <c r="NM45" s="13"/>
      <c r="NN45" s="13"/>
      <c r="NO45" s="13"/>
      <c r="NP45" s="13"/>
      <c r="NQ45" s="13"/>
      <c r="NR45" s="13"/>
      <c r="NS45" s="13"/>
      <c r="NT45" s="13"/>
      <c r="NU45" s="13"/>
      <c r="NV45" s="13"/>
      <c r="NW45" s="13"/>
      <c r="NX45" s="13"/>
      <c r="NY45" s="13"/>
      <c r="NZ45" s="13"/>
      <c r="OA45" s="13"/>
      <c r="OB45" s="13"/>
      <c r="OC45" s="13"/>
      <c r="OD45" s="13"/>
      <c r="OE45" s="13"/>
      <c r="OF45" s="13"/>
      <c r="OG45" s="13"/>
      <c r="OH45" s="13"/>
      <c r="OI45" s="13"/>
      <c r="OJ45" s="13"/>
      <c r="OK45" s="13"/>
      <c r="OL45" s="13"/>
      <c r="OM45" s="13"/>
      <c r="ON45" s="13"/>
      <c r="OO45" s="13"/>
      <c r="OP45" s="13"/>
      <c r="OQ45" s="13"/>
      <c r="OR45" s="13"/>
      <c r="OS45" s="13"/>
      <c r="OT45" s="13"/>
      <c r="OU45" s="13"/>
      <c r="OV45" s="13"/>
      <c r="OW45" s="13"/>
      <c r="OX45" s="13"/>
      <c r="OY45" s="13"/>
      <c r="OZ45" s="13"/>
      <c r="PA45" s="13"/>
      <c r="PB45" s="13"/>
      <c r="PC45" s="13"/>
      <c r="PD45" s="13"/>
      <c r="PE45" s="13"/>
      <c r="PF45" s="13"/>
      <c r="PG45" s="13"/>
      <c r="PH45" s="13"/>
      <c r="PI45" s="13"/>
      <c r="PJ45" s="13"/>
      <c r="PK45" s="13"/>
      <c r="PL45" s="13"/>
      <c r="PM45" s="13"/>
      <c r="PN45" s="13"/>
      <c r="PO45" s="13"/>
      <c r="PP45" s="13"/>
      <c r="PQ45" s="13"/>
      <c r="PR45" s="13"/>
      <c r="PS45" s="13"/>
      <c r="PT45" s="13"/>
      <c r="PU45" s="13"/>
      <c r="PV45" s="13"/>
      <c r="PW45" s="13"/>
    </row>
    <row r="46" spans="1:439" s="14" customFormat="1" x14ac:dyDescent="0.2">
      <c r="A46" s="88" t="s">
        <v>87</v>
      </c>
      <c r="B46" s="10" t="s">
        <v>326</v>
      </c>
      <c r="C46" s="93" t="s">
        <v>332</v>
      </c>
      <c r="D46" s="109" t="s">
        <v>1</v>
      </c>
      <c r="E46" s="110">
        <v>6</v>
      </c>
      <c r="F46" s="65">
        <v>3.35</v>
      </c>
      <c r="G46" s="65">
        <f t="shared" si="29"/>
        <v>29.5</v>
      </c>
      <c r="H46" s="63">
        <f t="shared" si="23"/>
        <v>32.85</v>
      </c>
      <c r="I46" s="63">
        <f t="shared" si="24"/>
        <v>197.10000000000002</v>
      </c>
      <c r="J46" s="12">
        <f t="shared" si="0"/>
        <v>0.25</v>
      </c>
      <c r="K46" s="63">
        <f t="shared" si="25"/>
        <v>246.37500000000003</v>
      </c>
      <c r="L46" s="19">
        <f t="shared" ref="L46:L76" si="30">K46/$K$118</f>
        <v>4.1087057286891385E-4</v>
      </c>
      <c r="M46" s="80"/>
      <c r="N46" s="80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/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/>
      <c r="NQ46" s="13"/>
      <c r="NR46" s="13"/>
      <c r="NS46" s="13"/>
      <c r="NT46" s="13"/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/>
      <c r="OF46" s="13"/>
      <c r="OG46" s="13"/>
      <c r="OH46" s="13"/>
      <c r="OI46" s="13"/>
      <c r="OJ46" s="13"/>
      <c r="OK46" s="13"/>
      <c r="OL46" s="13"/>
      <c r="OM46" s="13"/>
      <c r="ON46" s="13"/>
      <c r="OO46" s="13"/>
      <c r="OP46" s="13"/>
      <c r="OQ46" s="13"/>
      <c r="OR46" s="13"/>
      <c r="OS46" s="13"/>
      <c r="OT46" s="13"/>
      <c r="OU46" s="13"/>
      <c r="OV46" s="13"/>
      <c r="OW46" s="13"/>
      <c r="OX46" s="13"/>
      <c r="OY46" s="13"/>
      <c r="OZ46" s="13"/>
      <c r="PA46" s="13"/>
      <c r="PB46" s="13"/>
      <c r="PC46" s="13"/>
      <c r="PD46" s="13"/>
      <c r="PE46" s="13"/>
      <c r="PF46" s="13"/>
      <c r="PG46" s="13"/>
      <c r="PH46" s="13"/>
      <c r="PI46" s="13"/>
      <c r="PJ46" s="13"/>
      <c r="PK46" s="13"/>
      <c r="PL46" s="13"/>
      <c r="PM46" s="13"/>
      <c r="PN46" s="13"/>
      <c r="PO46" s="13"/>
      <c r="PP46" s="13"/>
      <c r="PQ46" s="13"/>
      <c r="PR46" s="13"/>
      <c r="PS46" s="13"/>
      <c r="PT46" s="13"/>
      <c r="PU46" s="13"/>
      <c r="PV46" s="13"/>
      <c r="PW46" s="13"/>
    </row>
    <row r="47" spans="1:439" s="14" customFormat="1" x14ac:dyDescent="0.2">
      <c r="A47" s="88" t="s">
        <v>88</v>
      </c>
      <c r="B47" s="10" t="s">
        <v>326</v>
      </c>
      <c r="C47" s="93" t="s">
        <v>333</v>
      </c>
      <c r="D47" s="109" t="s">
        <v>1</v>
      </c>
      <c r="E47" s="110">
        <v>18</v>
      </c>
      <c r="F47" s="65">
        <v>3.35</v>
      </c>
      <c r="G47" s="65">
        <f t="shared" si="29"/>
        <v>29.5</v>
      </c>
      <c r="H47" s="63">
        <f t="shared" si="23"/>
        <v>32.85</v>
      </c>
      <c r="I47" s="63">
        <f t="shared" si="24"/>
        <v>591.30000000000007</v>
      </c>
      <c r="J47" s="12">
        <f t="shared" si="0"/>
        <v>0.25</v>
      </c>
      <c r="K47" s="63">
        <f t="shared" si="25"/>
        <v>739.12500000000011</v>
      </c>
      <c r="L47" s="19">
        <f t="shared" si="30"/>
        <v>1.2326117186067416E-3</v>
      </c>
      <c r="M47" s="80"/>
      <c r="N47" s="80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</row>
    <row r="48" spans="1:439" s="14" customFormat="1" x14ac:dyDescent="0.2">
      <c r="A48" s="88" t="s">
        <v>89</v>
      </c>
      <c r="B48" s="10" t="s">
        <v>326</v>
      </c>
      <c r="C48" s="93" t="s">
        <v>334</v>
      </c>
      <c r="D48" s="109" t="s">
        <v>1</v>
      </c>
      <c r="E48" s="110">
        <f>4+28</f>
        <v>32</v>
      </c>
      <c r="F48" s="65">
        <v>2.6</v>
      </c>
      <c r="G48" s="65">
        <f t="shared" si="29"/>
        <v>29.5</v>
      </c>
      <c r="H48" s="63">
        <f t="shared" si="23"/>
        <v>32.1</v>
      </c>
      <c r="I48" s="63">
        <f t="shared" si="24"/>
        <v>1027.2</v>
      </c>
      <c r="J48" s="12">
        <f t="shared" si="0"/>
        <v>0.25</v>
      </c>
      <c r="K48" s="63">
        <f t="shared" si="25"/>
        <v>1284</v>
      </c>
      <c r="L48" s="19">
        <f t="shared" si="30"/>
        <v>2.1412798196395141E-3</v>
      </c>
      <c r="M48" s="80"/>
      <c r="N48" s="80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  <c r="IY48" s="13"/>
      <c r="IZ48" s="13"/>
      <c r="JA48" s="13"/>
      <c r="JB48" s="13"/>
      <c r="JC48" s="13"/>
      <c r="JD48" s="13"/>
      <c r="JE48" s="13"/>
      <c r="JF48" s="13"/>
      <c r="JG48" s="13"/>
      <c r="JH48" s="13"/>
      <c r="JI48" s="13"/>
      <c r="JJ48" s="13"/>
      <c r="JK48" s="13"/>
      <c r="JL48" s="13"/>
      <c r="JM48" s="13"/>
      <c r="JN48" s="13"/>
      <c r="JO48" s="13"/>
      <c r="JP48" s="13"/>
      <c r="JQ48" s="13"/>
      <c r="JR48" s="13"/>
      <c r="JS48" s="13"/>
      <c r="JT48" s="13"/>
      <c r="JU48" s="13"/>
      <c r="JV48" s="13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  <c r="NQ48" s="13"/>
      <c r="NR48" s="13"/>
      <c r="NS48" s="13"/>
      <c r="NT48" s="13"/>
      <c r="NU48" s="13"/>
      <c r="NV48" s="13"/>
      <c r="NW48" s="13"/>
      <c r="NX48" s="13"/>
      <c r="NY48" s="13"/>
      <c r="NZ48" s="13"/>
      <c r="OA48" s="13"/>
      <c r="OB48" s="13"/>
      <c r="OC48" s="13"/>
      <c r="OD48" s="13"/>
      <c r="OE48" s="13"/>
      <c r="OF48" s="13"/>
      <c r="OG48" s="13"/>
      <c r="OH48" s="13"/>
      <c r="OI48" s="13"/>
      <c r="OJ48" s="13"/>
      <c r="OK48" s="13"/>
      <c r="OL48" s="13"/>
      <c r="OM48" s="13"/>
      <c r="ON48" s="13"/>
      <c r="OO48" s="13"/>
      <c r="OP48" s="13"/>
      <c r="OQ48" s="13"/>
      <c r="OR48" s="13"/>
      <c r="OS48" s="13"/>
      <c r="OT48" s="13"/>
      <c r="OU48" s="13"/>
      <c r="OV48" s="13"/>
      <c r="OW48" s="13"/>
      <c r="OX48" s="13"/>
      <c r="OY48" s="13"/>
      <c r="OZ48" s="13"/>
      <c r="PA48" s="13"/>
      <c r="PB48" s="13"/>
      <c r="PC48" s="13"/>
      <c r="PD48" s="13"/>
      <c r="PE48" s="13"/>
      <c r="PF48" s="13"/>
      <c r="PG48" s="13"/>
      <c r="PH48" s="13"/>
      <c r="PI48" s="13"/>
      <c r="PJ48" s="13"/>
      <c r="PK48" s="13"/>
      <c r="PL48" s="13"/>
      <c r="PM48" s="13"/>
      <c r="PN48" s="13"/>
      <c r="PO48" s="13"/>
      <c r="PP48" s="13"/>
      <c r="PQ48" s="13"/>
      <c r="PR48" s="13"/>
      <c r="PS48" s="13"/>
      <c r="PT48" s="13"/>
      <c r="PU48" s="13"/>
      <c r="PV48" s="13"/>
      <c r="PW48" s="13"/>
    </row>
    <row r="49" spans="1:439" s="14" customFormat="1" x14ac:dyDescent="0.2">
      <c r="A49" s="88" t="s">
        <v>90</v>
      </c>
      <c r="B49" s="10" t="s">
        <v>326</v>
      </c>
      <c r="C49" s="93" t="s">
        <v>335</v>
      </c>
      <c r="D49" s="109" t="s">
        <v>1</v>
      </c>
      <c r="E49" s="110">
        <v>168</v>
      </c>
      <c r="F49" s="65">
        <v>3.3</v>
      </c>
      <c r="G49" s="65">
        <f t="shared" si="29"/>
        <v>29.5</v>
      </c>
      <c r="H49" s="63">
        <f t="shared" si="23"/>
        <v>32.799999999999997</v>
      </c>
      <c r="I49" s="63">
        <f t="shared" si="24"/>
        <v>5510.4</v>
      </c>
      <c r="J49" s="12">
        <f t="shared" si="0"/>
        <v>0.25</v>
      </c>
      <c r="K49" s="63">
        <f t="shared" si="25"/>
        <v>6888</v>
      </c>
      <c r="L49" s="19">
        <f t="shared" si="30"/>
        <v>1.1486865574514777E-2</v>
      </c>
      <c r="M49" s="80"/>
      <c r="N49" s="80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  <c r="IW49" s="13"/>
      <c r="IX49" s="13"/>
      <c r="IY49" s="13"/>
      <c r="IZ49" s="13"/>
      <c r="JA49" s="13"/>
      <c r="JB49" s="13"/>
      <c r="JC49" s="13"/>
      <c r="JD49" s="13"/>
      <c r="JE49" s="13"/>
      <c r="JF49" s="13"/>
      <c r="JG49" s="13"/>
      <c r="JH49" s="13"/>
      <c r="JI49" s="13"/>
      <c r="JJ49" s="13"/>
      <c r="JK49" s="13"/>
      <c r="JL49" s="13"/>
      <c r="JM49" s="13"/>
      <c r="JN49" s="13"/>
      <c r="JO49" s="13"/>
      <c r="JP49" s="13"/>
      <c r="JQ49" s="13"/>
      <c r="JR49" s="13"/>
      <c r="JS49" s="13"/>
      <c r="JT49" s="13"/>
      <c r="JU49" s="13"/>
      <c r="JV49" s="13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  <c r="NQ49" s="13"/>
      <c r="NR49" s="13"/>
      <c r="NS49" s="13"/>
      <c r="NT49" s="13"/>
      <c r="NU49" s="13"/>
      <c r="NV49" s="13"/>
      <c r="NW49" s="13"/>
      <c r="NX49" s="13"/>
      <c r="NY49" s="13"/>
      <c r="NZ49" s="13"/>
      <c r="OA49" s="13"/>
      <c r="OB49" s="13"/>
      <c r="OC49" s="13"/>
      <c r="OD49" s="13"/>
      <c r="OE49" s="13"/>
      <c r="OF49" s="13"/>
      <c r="OG49" s="13"/>
      <c r="OH49" s="13"/>
      <c r="OI49" s="13"/>
      <c r="OJ49" s="13"/>
      <c r="OK49" s="13"/>
      <c r="OL49" s="13"/>
      <c r="OM49" s="13"/>
      <c r="ON49" s="13"/>
      <c r="OO49" s="13"/>
      <c r="OP49" s="13"/>
      <c r="OQ49" s="13"/>
      <c r="OR49" s="13"/>
      <c r="OS49" s="13"/>
      <c r="OT49" s="13"/>
      <c r="OU49" s="13"/>
      <c r="OV49" s="13"/>
      <c r="OW49" s="13"/>
      <c r="OX49" s="13"/>
      <c r="OY49" s="13"/>
      <c r="OZ49" s="13"/>
      <c r="PA49" s="13"/>
      <c r="PB49" s="13"/>
      <c r="PC49" s="13"/>
      <c r="PD49" s="13"/>
      <c r="PE49" s="13"/>
      <c r="PF49" s="13"/>
      <c r="PG49" s="13"/>
      <c r="PH49" s="13"/>
      <c r="PI49" s="13"/>
      <c r="PJ49" s="13"/>
      <c r="PK49" s="13"/>
      <c r="PL49" s="13"/>
      <c r="PM49" s="13"/>
      <c r="PN49" s="13"/>
      <c r="PO49" s="13"/>
      <c r="PP49" s="13"/>
      <c r="PQ49" s="13"/>
      <c r="PR49" s="13"/>
      <c r="PS49" s="13"/>
      <c r="PT49" s="13"/>
      <c r="PU49" s="13"/>
      <c r="PV49" s="13"/>
      <c r="PW49" s="13"/>
    </row>
    <row r="50" spans="1:439" s="14" customFormat="1" x14ac:dyDescent="0.2">
      <c r="A50" s="88" t="s">
        <v>48</v>
      </c>
      <c r="B50" s="10" t="s">
        <v>326</v>
      </c>
      <c r="C50" s="93" t="s">
        <v>336</v>
      </c>
      <c r="D50" s="109" t="s">
        <v>1</v>
      </c>
      <c r="E50" s="110">
        <f>6+93</f>
        <v>99</v>
      </c>
      <c r="F50" s="65">
        <v>3.3</v>
      </c>
      <c r="G50" s="65">
        <f t="shared" si="29"/>
        <v>29.5</v>
      </c>
      <c r="H50" s="63">
        <f t="shared" si="23"/>
        <v>32.799999999999997</v>
      </c>
      <c r="I50" s="63">
        <f t="shared" si="24"/>
        <v>3247.2</v>
      </c>
      <c r="J50" s="12">
        <f t="shared" si="0"/>
        <v>0.25</v>
      </c>
      <c r="K50" s="63">
        <f t="shared" si="25"/>
        <v>4059</v>
      </c>
      <c r="L50" s="19">
        <f t="shared" si="30"/>
        <v>6.7690457849819228E-3</v>
      </c>
      <c r="M50" s="80"/>
      <c r="N50" s="80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  <c r="IX50" s="13"/>
      <c r="IY50" s="13"/>
      <c r="IZ50" s="13"/>
      <c r="JA50" s="13"/>
      <c r="JB50" s="13"/>
      <c r="JC50" s="13"/>
      <c r="JD50" s="13"/>
      <c r="JE50" s="13"/>
      <c r="JF50" s="13"/>
      <c r="JG50" s="13"/>
      <c r="JH50" s="13"/>
      <c r="JI50" s="13"/>
      <c r="JJ50" s="13"/>
      <c r="JK50" s="13"/>
      <c r="JL50" s="13"/>
      <c r="JM50" s="13"/>
      <c r="JN50" s="13"/>
      <c r="JO50" s="13"/>
      <c r="JP50" s="13"/>
      <c r="JQ50" s="13"/>
      <c r="JR50" s="13"/>
      <c r="JS50" s="13"/>
      <c r="JT50" s="13"/>
      <c r="JU50" s="13"/>
      <c r="JV50" s="13"/>
      <c r="JW50" s="13"/>
      <c r="JX50" s="13"/>
      <c r="JY50" s="13"/>
      <c r="JZ50" s="13"/>
      <c r="KA50" s="13"/>
      <c r="KB50" s="13"/>
      <c r="KC50" s="13"/>
      <c r="KD50" s="13"/>
      <c r="KE50" s="13"/>
      <c r="KF50" s="13"/>
      <c r="KG50" s="13"/>
      <c r="KH50" s="13"/>
      <c r="KI50" s="13"/>
      <c r="KJ50" s="13"/>
      <c r="KK50" s="13"/>
      <c r="KL50" s="13"/>
      <c r="KM50" s="13"/>
      <c r="KN50" s="13"/>
      <c r="KO50" s="13"/>
      <c r="KP50" s="13"/>
      <c r="KQ50" s="13"/>
      <c r="KR50" s="13"/>
      <c r="KS50" s="13"/>
      <c r="KT50" s="13"/>
      <c r="KU50" s="13"/>
      <c r="KV50" s="13"/>
      <c r="KW50" s="13"/>
      <c r="KX50" s="13"/>
      <c r="KY50" s="13"/>
      <c r="KZ50" s="13"/>
      <c r="LA50" s="13"/>
      <c r="LB50" s="13"/>
      <c r="LC50" s="13"/>
      <c r="LD50" s="13"/>
      <c r="LE50" s="13"/>
      <c r="LF50" s="13"/>
      <c r="LG50" s="13"/>
      <c r="LH50" s="13"/>
      <c r="LI50" s="13"/>
      <c r="LJ50" s="13"/>
      <c r="LK50" s="13"/>
      <c r="LL50" s="13"/>
      <c r="LM50" s="13"/>
      <c r="LN50" s="13"/>
      <c r="LO50" s="13"/>
      <c r="LP50" s="13"/>
      <c r="LQ50" s="13"/>
      <c r="LR50" s="13"/>
      <c r="LS50" s="13"/>
      <c r="LT50" s="13"/>
      <c r="LU50" s="13"/>
      <c r="LV50" s="13"/>
      <c r="LW50" s="13"/>
      <c r="LX50" s="13"/>
      <c r="LY50" s="13"/>
      <c r="LZ50" s="13"/>
      <c r="MA50" s="13"/>
      <c r="MB50" s="13"/>
      <c r="MC50" s="13"/>
      <c r="MD50" s="13"/>
      <c r="ME50" s="13"/>
      <c r="MF50" s="13"/>
      <c r="MG50" s="13"/>
      <c r="MH50" s="13"/>
      <c r="MI50" s="13"/>
      <c r="MJ50" s="13"/>
      <c r="MK50" s="13"/>
      <c r="ML50" s="13"/>
      <c r="MM50" s="13"/>
      <c r="MN50" s="13"/>
      <c r="MO50" s="13"/>
      <c r="MP50" s="13"/>
      <c r="MQ50" s="13"/>
      <c r="MR50" s="13"/>
      <c r="MS50" s="13"/>
      <c r="MT50" s="13"/>
      <c r="MU50" s="13"/>
      <c r="MV50" s="13"/>
      <c r="MW50" s="13"/>
      <c r="MX50" s="13"/>
      <c r="MY50" s="13"/>
      <c r="MZ50" s="13"/>
      <c r="NA50" s="13"/>
      <c r="NB50" s="13"/>
      <c r="NC50" s="13"/>
      <c r="ND50" s="13"/>
      <c r="NE50" s="13"/>
      <c r="NF50" s="13"/>
      <c r="NG50" s="13"/>
      <c r="NH50" s="13"/>
      <c r="NI50" s="13"/>
      <c r="NJ50" s="13"/>
      <c r="NK50" s="13"/>
      <c r="NL50" s="13"/>
      <c r="NM50" s="13"/>
      <c r="NN50" s="13"/>
      <c r="NO50" s="13"/>
      <c r="NP50" s="13"/>
      <c r="NQ50" s="13"/>
      <c r="NR50" s="13"/>
      <c r="NS50" s="13"/>
      <c r="NT50" s="13"/>
      <c r="NU50" s="13"/>
      <c r="NV50" s="13"/>
      <c r="NW50" s="13"/>
      <c r="NX50" s="13"/>
      <c r="NY50" s="13"/>
      <c r="NZ50" s="13"/>
      <c r="OA50" s="13"/>
      <c r="OB50" s="13"/>
      <c r="OC50" s="13"/>
      <c r="OD50" s="13"/>
      <c r="OE50" s="13"/>
      <c r="OF50" s="13"/>
      <c r="OG50" s="13"/>
      <c r="OH50" s="13"/>
      <c r="OI50" s="13"/>
      <c r="OJ50" s="13"/>
      <c r="OK50" s="13"/>
      <c r="OL50" s="13"/>
      <c r="OM50" s="13"/>
      <c r="ON50" s="13"/>
      <c r="OO50" s="13"/>
      <c r="OP50" s="13"/>
      <c r="OQ50" s="13"/>
      <c r="OR50" s="13"/>
      <c r="OS50" s="13"/>
      <c r="OT50" s="13"/>
      <c r="OU50" s="13"/>
      <c r="OV50" s="13"/>
      <c r="OW50" s="13"/>
      <c r="OX50" s="13"/>
      <c r="OY50" s="13"/>
      <c r="OZ50" s="13"/>
      <c r="PA50" s="13"/>
      <c r="PB50" s="13"/>
      <c r="PC50" s="13"/>
      <c r="PD50" s="13"/>
      <c r="PE50" s="13"/>
      <c r="PF50" s="13"/>
      <c r="PG50" s="13"/>
      <c r="PH50" s="13"/>
      <c r="PI50" s="13"/>
      <c r="PJ50" s="13"/>
      <c r="PK50" s="13"/>
      <c r="PL50" s="13"/>
      <c r="PM50" s="13"/>
      <c r="PN50" s="13"/>
      <c r="PO50" s="13"/>
      <c r="PP50" s="13"/>
      <c r="PQ50" s="13"/>
      <c r="PR50" s="13"/>
      <c r="PS50" s="13"/>
      <c r="PT50" s="13"/>
      <c r="PU50" s="13"/>
      <c r="PV50" s="13"/>
      <c r="PW50" s="13"/>
    </row>
    <row r="51" spans="1:439" s="14" customFormat="1" x14ac:dyDescent="0.2">
      <c r="A51" s="88" t="s">
        <v>49</v>
      </c>
      <c r="B51" s="10" t="s">
        <v>326</v>
      </c>
      <c r="C51" s="93" t="s">
        <v>337</v>
      </c>
      <c r="D51" s="109" t="s">
        <v>1</v>
      </c>
      <c r="E51" s="110">
        <v>16</v>
      </c>
      <c r="F51" s="65">
        <v>3.2</v>
      </c>
      <c r="G51" s="65">
        <f t="shared" si="29"/>
        <v>29.5</v>
      </c>
      <c r="H51" s="63">
        <f t="shared" si="23"/>
        <v>32.700000000000003</v>
      </c>
      <c r="I51" s="63">
        <f t="shared" si="24"/>
        <v>523.20000000000005</v>
      </c>
      <c r="J51" s="12">
        <f t="shared" si="0"/>
        <v>0.25</v>
      </c>
      <c r="K51" s="63">
        <f t="shared" si="25"/>
        <v>654</v>
      </c>
      <c r="L51" s="19">
        <f t="shared" si="30"/>
        <v>1.0906518707509676E-3</v>
      </c>
      <c r="M51" s="80"/>
      <c r="N51" s="80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3"/>
      <c r="KO51" s="13"/>
      <c r="KP51" s="13"/>
      <c r="KQ51" s="13"/>
      <c r="KR51" s="13"/>
      <c r="KS51" s="13"/>
      <c r="KT51" s="13"/>
      <c r="KU51" s="13"/>
      <c r="KV51" s="13"/>
      <c r="KW51" s="13"/>
      <c r="KX51" s="13"/>
      <c r="KY51" s="13"/>
      <c r="KZ51" s="13"/>
      <c r="LA51" s="13"/>
      <c r="LB51" s="13"/>
      <c r="LC51" s="13"/>
      <c r="LD51" s="13"/>
      <c r="LE51" s="13"/>
      <c r="LF51" s="13"/>
      <c r="LG51" s="13"/>
      <c r="LH51" s="13"/>
      <c r="LI51" s="13"/>
      <c r="LJ51" s="13"/>
      <c r="LK51" s="13"/>
      <c r="LL51" s="13"/>
      <c r="LM51" s="13"/>
      <c r="LN51" s="13"/>
      <c r="LO51" s="13"/>
      <c r="LP51" s="13"/>
      <c r="LQ51" s="13"/>
      <c r="LR51" s="13"/>
      <c r="LS51" s="13"/>
      <c r="LT51" s="13"/>
      <c r="LU51" s="13"/>
      <c r="LV51" s="13"/>
      <c r="LW51" s="13"/>
      <c r="LX51" s="13"/>
      <c r="LY51" s="13"/>
      <c r="LZ51" s="13"/>
      <c r="MA51" s="13"/>
      <c r="MB51" s="13"/>
      <c r="MC51" s="13"/>
      <c r="MD51" s="13"/>
      <c r="ME51" s="13"/>
      <c r="MF51" s="13"/>
      <c r="MG51" s="13"/>
      <c r="MH51" s="13"/>
      <c r="MI51" s="13"/>
      <c r="MJ51" s="13"/>
      <c r="MK51" s="13"/>
      <c r="ML51" s="13"/>
      <c r="MM51" s="13"/>
      <c r="MN51" s="13"/>
      <c r="MO51" s="13"/>
      <c r="MP51" s="13"/>
      <c r="MQ51" s="13"/>
      <c r="MR51" s="13"/>
      <c r="MS51" s="13"/>
      <c r="MT51" s="13"/>
      <c r="MU51" s="13"/>
      <c r="MV51" s="13"/>
      <c r="MW51" s="13"/>
      <c r="MX51" s="13"/>
      <c r="MY51" s="13"/>
      <c r="MZ51" s="13"/>
      <c r="NA51" s="13"/>
      <c r="NB51" s="13"/>
      <c r="NC51" s="13"/>
      <c r="ND51" s="13"/>
      <c r="NE51" s="13"/>
      <c r="NF51" s="13"/>
      <c r="NG51" s="13"/>
      <c r="NH51" s="13"/>
      <c r="NI51" s="13"/>
      <c r="NJ51" s="13"/>
      <c r="NK51" s="13"/>
      <c r="NL51" s="13"/>
      <c r="NM51" s="13"/>
      <c r="NN51" s="13"/>
      <c r="NO51" s="13"/>
      <c r="NP51" s="13"/>
      <c r="NQ51" s="13"/>
      <c r="NR51" s="13"/>
      <c r="NS51" s="13"/>
      <c r="NT51" s="13"/>
      <c r="NU51" s="13"/>
      <c r="NV51" s="13"/>
      <c r="NW51" s="13"/>
      <c r="NX51" s="13"/>
      <c r="NY51" s="13"/>
      <c r="NZ51" s="13"/>
      <c r="OA51" s="13"/>
      <c r="OB51" s="13"/>
      <c r="OC51" s="13"/>
      <c r="OD51" s="13"/>
      <c r="OE51" s="13"/>
      <c r="OF51" s="13"/>
      <c r="OG51" s="13"/>
      <c r="OH51" s="13"/>
      <c r="OI51" s="13"/>
      <c r="OJ51" s="13"/>
      <c r="OK51" s="13"/>
      <c r="OL51" s="13"/>
      <c r="OM51" s="13"/>
      <c r="ON51" s="13"/>
      <c r="OO51" s="13"/>
      <c r="OP51" s="13"/>
      <c r="OQ51" s="13"/>
      <c r="OR51" s="13"/>
      <c r="OS51" s="13"/>
      <c r="OT51" s="13"/>
      <c r="OU51" s="13"/>
      <c r="OV51" s="13"/>
      <c r="OW51" s="13"/>
      <c r="OX51" s="13"/>
      <c r="OY51" s="13"/>
      <c r="OZ51" s="13"/>
      <c r="PA51" s="13"/>
      <c r="PB51" s="13"/>
      <c r="PC51" s="13"/>
      <c r="PD51" s="13"/>
      <c r="PE51" s="13"/>
      <c r="PF51" s="13"/>
      <c r="PG51" s="13"/>
      <c r="PH51" s="13"/>
      <c r="PI51" s="13"/>
      <c r="PJ51" s="13"/>
      <c r="PK51" s="13"/>
      <c r="PL51" s="13"/>
      <c r="PM51" s="13"/>
      <c r="PN51" s="13"/>
      <c r="PO51" s="13"/>
      <c r="PP51" s="13"/>
      <c r="PQ51" s="13"/>
      <c r="PR51" s="13"/>
      <c r="PS51" s="13"/>
      <c r="PT51" s="13"/>
      <c r="PU51" s="13"/>
      <c r="PV51" s="13"/>
      <c r="PW51" s="13"/>
    </row>
    <row r="52" spans="1:439" x14ac:dyDescent="0.2">
      <c r="A52" s="88" t="s">
        <v>91</v>
      </c>
      <c r="B52" s="10" t="s">
        <v>326</v>
      </c>
      <c r="C52" s="116" t="s">
        <v>381</v>
      </c>
      <c r="D52" s="107" t="s">
        <v>1</v>
      </c>
      <c r="E52" s="140">
        <v>30</v>
      </c>
      <c r="F52" s="65">
        <v>2.84</v>
      </c>
      <c r="G52" s="65">
        <f t="shared" si="29"/>
        <v>29.5</v>
      </c>
      <c r="H52" s="63">
        <f t="shared" si="23"/>
        <v>32.340000000000003</v>
      </c>
      <c r="I52" s="63">
        <f t="shared" si="24"/>
        <v>970.2</v>
      </c>
      <c r="J52" s="12">
        <f t="shared" si="0"/>
        <v>0.25</v>
      </c>
      <c r="K52" s="63">
        <f t="shared" si="25"/>
        <v>1212.75</v>
      </c>
      <c r="L52" s="19">
        <f t="shared" si="30"/>
        <v>2.0224588016104525E-3</v>
      </c>
      <c r="M52" s="137"/>
      <c r="N52" s="137"/>
    </row>
    <row r="53" spans="1:439" s="14" customFormat="1" x14ac:dyDescent="0.2">
      <c r="A53" s="88" t="s">
        <v>92</v>
      </c>
      <c r="B53" s="10" t="s">
        <v>327</v>
      </c>
      <c r="C53" s="93" t="s">
        <v>54</v>
      </c>
      <c r="D53" s="109" t="s">
        <v>1</v>
      </c>
      <c r="E53" s="110">
        <f>2+16</f>
        <v>18</v>
      </c>
      <c r="F53" s="65">
        <v>7.26</v>
      </c>
      <c r="G53" s="65">
        <f>0.2*59</f>
        <v>11.8</v>
      </c>
      <c r="H53" s="63">
        <f t="shared" si="23"/>
        <v>19.060000000000002</v>
      </c>
      <c r="I53" s="63">
        <f t="shared" si="24"/>
        <v>343.08000000000004</v>
      </c>
      <c r="J53" s="12">
        <f t="shared" si="0"/>
        <v>0.25</v>
      </c>
      <c r="K53" s="63">
        <f t="shared" si="25"/>
        <v>428.85</v>
      </c>
      <c r="L53" s="19">
        <f t="shared" si="30"/>
        <v>7.1517745377913222E-4</v>
      </c>
      <c r="M53" s="80"/>
      <c r="N53" s="80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13"/>
      <c r="JB53" s="13"/>
      <c r="JC53" s="13"/>
      <c r="JD53" s="13"/>
      <c r="JE53" s="13"/>
      <c r="JF53" s="13"/>
      <c r="JG53" s="13"/>
      <c r="JH53" s="13"/>
      <c r="JI53" s="13"/>
      <c r="JJ53" s="13"/>
      <c r="JK53" s="13"/>
      <c r="JL53" s="13"/>
      <c r="JM53" s="13"/>
      <c r="JN53" s="13"/>
      <c r="JO53" s="13"/>
      <c r="JP53" s="13"/>
      <c r="JQ53" s="13"/>
      <c r="JR53" s="13"/>
      <c r="JS53" s="13"/>
      <c r="JT53" s="13"/>
      <c r="JU53" s="13"/>
      <c r="JV53" s="13"/>
      <c r="JW53" s="13"/>
      <c r="JX53" s="13"/>
      <c r="JY53" s="13"/>
      <c r="JZ53" s="13"/>
      <c r="KA53" s="13"/>
      <c r="KB53" s="13"/>
      <c r="KC53" s="13"/>
      <c r="KD53" s="13"/>
      <c r="KE53" s="13"/>
      <c r="KF53" s="13"/>
      <c r="KG53" s="13"/>
      <c r="KH53" s="13"/>
      <c r="KI53" s="13"/>
      <c r="KJ53" s="13"/>
      <c r="KK53" s="13"/>
      <c r="KL53" s="13"/>
      <c r="KM53" s="13"/>
      <c r="KN53" s="13"/>
      <c r="KO53" s="13"/>
      <c r="KP53" s="13"/>
      <c r="KQ53" s="13"/>
      <c r="KR53" s="13"/>
      <c r="KS53" s="13"/>
      <c r="KT53" s="13"/>
      <c r="KU53" s="13"/>
      <c r="KV53" s="13"/>
      <c r="KW53" s="13"/>
      <c r="KX53" s="13"/>
      <c r="KY53" s="13"/>
      <c r="KZ53" s="13"/>
      <c r="LA53" s="13"/>
      <c r="LB53" s="13"/>
      <c r="LC53" s="13"/>
      <c r="LD53" s="13"/>
      <c r="LE53" s="13"/>
      <c r="LF53" s="13"/>
      <c r="LG53" s="13"/>
      <c r="LH53" s="13"/>
      <c r="LI53" s="13"/>
      <c r="LJ53" s="13"/>
      <c r="LK53" s="13"/>
      <c r="LL53" s="13"/>
      <c r="LM53" s="13"/>
      <c r="LN53" s="13"/>
      <c r="LO53" s="13"/>
      <c r="LP53" s="13"/>
      <c r="LQ53" s="13"/>
      <c r="LR53" s="13"/>
      <c r="LS53" s="13"/>
      <c r="LT53" s="13"/>
      <c r="LU53" s="13"/>
      <c r="LV53" s="13"/>
      <c r="LW53" s="13"/>
      <c r="LX53" s="13"/>
      <c r="LY53" s="13"/>
      <c r="LZ53" s="13"/>
      <c r="MA53" s="13"/>
      <c r="MB53" s="13"/>
      <c r="MC53" s="13"/>
      <c r="MD53" s="13"/>
      <c r="ME53" s="13"/>
      <c r="MF53" s="13"/>
      <c r="MG53" s="13"/>
      <c r="MH53" s="13"/>
      <c r="MI53" s="13"/>
      <c r="MJ53" s="13"/>
      <c r="MK53" s="13"/>
      <c r="ML53" s="13"/>
      <c r="MM53" s="13"/>
      <c r="MN53" s="13"/>
      <c r="MO53" s="13"/>
      <c r="MP53" s="13"/>
      <c r="MQ53" s="13"/>
      <c r="MR53" s="13"/>
      <c r="MS53" s="13"/>
      <c r="MT53" s="13"/>
      <c r="MU53" s="13"/>
      <c r="MV53" s="13"/>
      <c r="MW53" s="13"/>
      <c r="MX53" s="13"/>
      <c r="MY53" s="13"/>
      <c r="MZ53" s="13"/>
      <c r="NA53" s="13"/>
      <c r="NB53" s="13"/>
      <c r="NC53" s="13"/>
      <c r="ND53" s="13"/>
      <c r="NE53" s="13"/>
      <c r="NF53" s="13"/>
      <c r="NG53" s="13"/>
      <c r="NH53" s="13"/>
      <c r="NI53" s="13"/>
      <c r="NJ53" s="13"/>
      <c r="NK53" s="13"/>
      <c r="NL53" s="13"/>
      <c r="NM53" s="13"/>
      <c r="NN53" s="13"/>
      <c r="NO53" s="13"/>
      <c r="NP53" s="13"/>
      <c r="NQ53" s="13"/>
      <c r="NR53" s="13"/>
      <c r="NS53" s="13"/>
      <c r="NT53" s="13"/>
      <c r="NU53" s="13"/>
      <c r="NV53" s="13"/>
      <c r="NW53" s="13"/>
      <c r="NX53" s="13"/>
      <c r="NY53" s="13"/>
      <c r="NZ53" s="13"/>
      <c r="OA53" s="13"/>
      <c r="OB53" s="13"/>
      <c r="OC53" s="13"/>
      <c r="OD53" s="13"/>
      <c r="OE53" s="13"/>
      <c r="OF53" s="13"/>
      <c r="OG53" s="13"/>
      <c r="OH53" s="13"/>
      <c r="OI53" s="13"/>
      <c r="OJ53" s="13"/>
      <c r="OK53" s="13"/>
      <c r="OL53" s="13"/>
      <c r="OM53" s="13"/>
      <c r="ON53" s="13"/>
      <c r="OO53" s="13"/>
      <c r="OP53" s="13"/>
      <c r="OQ53" s="13"/>
      <c r="OR53" s="13"/>
      <c r="OS53" s="13"/>
      <c r="OT53" s="13"/>
      <c r="OU53" s="13"/>
      <c r="OV53" s="13"/>
      <c r="OW53" s="13"/>
      <c r="OX53" s="13"/>
      <c r="OY53" s="13"/>
      <c r="OZ53" s="13"/>
      <c r="PA53" s="13"/>
      <c r="PB53" s="13"/>
      <c r="PC53" s="13"/>
      <c r="PD53" s="13"/>
      <c r="PE53" s="13"/>
      <c r="PF53" s="13"/>
      <c r="PG53" s="13"/>
      <c r="PH53" s="13"/>
      <c r="PI53" s="13"/>
      <c r="PJ53" s="13"/>
      <c r="PK53" s="13"/>
      <c r="PL53" s="13"/>
      <c r="PM53" s="13"/>
      <c r="PN53" s="13"/>
      <c r="PO53" s="13"/>
      <c r="PP53" s="13"/>
      <c r="PQ53" s="13"/>
      <c r="PR53" s="13"/>
      <c r="PS53" s="13"/>
      <c r="PT53" s="13"/>
      <c r="PU53" s="13"/>
      <c r="PV53" s="13"/>
      <c r="PW53" s="13"/>
    </row>
    <row r="54" spans="1:439" s="14" customFormat="1" x14ac:dyDescent="0.2">
      <c r="A54" s="88" t="s">
        <v>50</v>
      </c>
      <c r="B54" s="10" t="s">
        <v>327</v>
      </c>
      <c r="C54" s="93" t="s">
        <v>55</v>
      </c>
      <c r="D54" s="109" t="s">
        <v>1</v>
      </c>
      <c r="E54" s="110">
        <v>11</v>
      </c>
      <c r="F54" s="65">
        <v>9.24</v>
      </c>
      <c r="G54" s="65">
        <f>0.2*59</f>
        <v>11.8</v>
      </c>
      <c r="H54" s="63">
        <f t="shared" si="23"/>
        <v>21.04</v>
      </c>
      <c r="I54" s="63">
        <f t="shared" si="24"/>
        <v>231.44</v>
      </c>
      <c r="J54" s="12">
        <f t="shared" si="0"/>
        <v>0.25</v>
      </c>
      <c r="K54" s="63">
        <f t="shared" si="25"/>
        <v>289.3</v>
      </c>
      <c r="L54" s="19">
        <f t="shared" si="30"/>
        <v>4.8245502478326443E-4</v>
      </c>
      <c r="M54" s="80"/>
      <c r="N54" s="80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  <c r="JE54" s="13"/>
      <c r="JF54" s="13"/>
      <c r="JG54" s="13"/>
      <c r="JH54" s="13"/>
      <c r="JI54" s="13"/>
      <c r="JJ54" s="13"/>
      <c r="JK54" s="13"/>
      <c r="JL54" s="13"/>
      <c r="JM54" s="13"/>
      <c r="JN54" s="13"/>
      <c r="JO54" s="13"/>
      <c r="JP54" s="13"/>
      <c r="JQ54" s="13"/>
      <c r="JR54" s="13"/>
      <c r="JS54" s="13"/>
      <c r="JT54" s="13"/>
      <c r="JU54" s="13"/>
      <c r="JV54" s="13"/>
      <c r="JW54" s="13"/>
      <c r="JX54" s="13"/>
      <c r="JY54" s="13"/>
      <c r="JZ54" s="13"/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3"/>
      <c r="KO54" s="13"/>
      <c r="KP54" s="13"/>
      <c r="KQ54" s="13"/>
      <c r="KR54" s="13"/>
      <c r="KS54" s="13"/>
      <c r="KT54" s="13"/>
      <c r="KU54" s="13"/>
      <c r="KV54" s="13"/>
      <c r="KW54" s="13"/>
      <c r="KX54" s="13"/>
      <c r="KY54" s="13"/>
      <c r="KZ54" s="13"/>
      <c r="LA54" s="13"/>
      <c r="LB54" s="13"/>
      <c r="LC54" s="13"/>
      <c r="LD54" s="13"/>
      <c r="LE54" s="13"/>
      <c r="LF54" s="13"/>
      <c r="LG54" s="13"/>
      <c r="LH54" s="13"/>
      <c r="LI54" s="13"/>
      <c r="LJ54" s="13"/>
      <c r="LK54" s="13"/>
      <c r="LL54" s="13"/>
      <c r="LM54" s="13"/>
      <c r="LN54" s="13"/>
      <c r="LO54" s="13"/>
      <c r="LP54" s="13"/>
      <c r="LQ54" s="13"/>
      <c r="LR54" s="13"/>
      <c r="LS54" s="13"/>
      <c r="LT54" s="13"/>
      <c r="LU54" s="13"/>
      <c r="LV54" s="13"/>
      <c r="LW54" s="13"/>
      <c r="LX54" s="13"/>
      <c r="LY54" s="13"/>
      <c r="LZ54" s="13"/>
      <c r="MA54" s="13"/>
      <c r="MB54" s="13"/>
      <c r="MC54" s="13"/>
      <c r="MD54" s="13"/>
      <c r="ME54" s="13"/>
      <c r="MF54" s="13"/>
      <c r="MG54" s="13"/>
      <c r="MH54" s="13"/>
      <c r="MI54" s="13"/>
      <c r="MJ54" s="13"/>
      <c r="MK54" s="13"/>
      <c r="ML54" s="13"/>
      <c r="MM54" s="13"/>
      <c r="MN54" s="13"/>
      <c r="MO54" s="13"/>
      <c r="MP54" s="13"/>
      <c r="MQ54" s="13"/>
      <c r="MR54" s="13"/>
      <c r="MS54" s="13"/>
      <c r="MT54" s="13"/>
      <c r="MU54" s="13"/>
      <c r="MV54" s="13"/>
      <c r="MW54" s="13"/>
      <c r="MX54" s="13"/>
      <c r="MY54" s="13"/>
      <c r="MZ54" s="13"/>
      <c r="NA54" s="13"/>
      <c r="NB54" s="13"/>
      <c r="NC54" s="13"/>
      <c r="ND54" s="13"/>
      <c r="NE54" s="13"/>
      <c r="NF54" s="13"/>
      <c r="NG54" s="13"/>
      <c r="NH54" s="13"/>
      <c r="NI54" s="13"/>
      <c r="NJ54" s="13"/>
      <c r="NK54" s="13"/>
      <c r="NL54" s="13"/>
      <c r="NM54" s="13"/>
      <c r="NN54" s="13"/>
      <c r="NO54" s="13"/>
      <c r="NP54" s="13"/>
      <c r="NQ54" s="13"/>
      <c r="NR54" s="13"/>
      <c r="NS54" s="13"/>
      <c r="NT54" s="13"/>
      <c r="NU54" s="13"/>
      <c r="NV54" s="13"/>
      <c r="NW54" s="13"/>
      <c r="NX54" s="13"/>
      <c r="NY54" s="13"/>
      <c r="NZ54" s="13"/>
      <c r="OA54" s="13"/>
      <c r="OB54" s="13"/>
      <c r="OC54" s="13"/>
      <c r="OD54" s="13"/>
      <c r="OE54" s="13"/>
      <c r="OF54" s="13"/>
      <c r="OG54" s="13"/>
      <c r="OH54" s="13"/>
      <c r="OI54" s="13"/>
      <c r="OJ54" s="13"/>
      <c r="OK54" s="13"/>
      <c r="OL54" s="13"/>
      <c r="OM54" s="13"/>
      <c r="ON54" s="13"/>
      <c r="OO54" s="13"/>
      <c r="OP54" s="13"/>
      <c r="OQ54" s="13"/>
      <c r="OR54" s="13"/>
      <c r="OS54" s="13"/>
      <c r="OT54" s="13"/>
      <c r="OU54" s="13"/>
      <c r="OV54" s="13"/>
      <c r="OW54" s="13"/>
      <c r="OX54" s="13"/>
      <c r="OY54" s="13"/>
      <c r="OZ54" s="13"/>
      <c r="PA54" s="13"/>
      <c r="PB54" s="13"/>
      <c r="PC54" s="13"/>
      <c r="PD54" s="13"/>
      <c r="PE54" s="13"/>
      <c r="PF54" s="13"/>
      <c r="PG54" s="13"/>
      <c r="PH54" s="13"/>
      <c r="PI54" s="13"/>
      <c r="PJ54" s="13"/>
      <c r="PK54" s="13"/>
      <c r="PL54" s="13"/>
      <c r="PM54" s="13"/>
      <c r="PN54" s="13"/>
      <c r="PO54" s="13"/>
      <c r="PP54" s="13"/>
      <c r="PQ54" s="13"/>
      <c r="PR54" s="13"/>
      <c r="PS54" s="13"/>
      <c r="PT54" s="13"/>
      <c r="PU54" s="13"/>
      <c r="PV54" s="13"/>
      <c r="PW54" s="13"/>
    </row>
    <row r="55" spans="1:439" s="14" customFormat="1" x14ac:dyDescent="0.2">
      <c r="A55" s="88" t="s">
        <v>50</v>
      </c>
      <c r="B55" s="10" t="s">
        <v>327</v>
      </c>
      <c r="C55" s="93" t="s">
        <v>56</v>
      </c>
      <c r="D55" s="109" t="s">
        <v>1</v>
      </c>
      <c r="E55" s="110">
        <v>15</v>
      </c>
      <c r="F55" s="65">
        <v>9.24</v>
      </c>
      <c r="G55" s="65">
        <f>0.2*59</f>
        <v>11.8</v>
      </c>
      <c r="H55" s="63">
        <f t="shared" ref="H55" si="31">F55+G55</f>
        <v>21.04</v>
      </c>
      <c r="I55" s="63">
        <f t="shared" ref="I55" si="32">E55*H55</f>
        <v>315.59999999999997</v>
      </c>
      <c r="J55" s="12">
        <f t="shared" si="0"/>
        <v>0.25</v>
      </c>
      <c r="K55" s="63">
        <f t="shared" ref="K55" si="33">I55*(1+J55)</f>
        <v>394.49999999999994</v>
      </c>
      <c r="L55" s="19">
        <f t="shared" si="30"/>
        <v>6.5789321561354221E-4</v>
      </c>
      <c r="M55" s="80"/>
      <c r="N55" s="80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  <c r="NQ55" s="13"/>
      <c r="NR55" s="13"/>
      <c r="NS55" s="13"/>
      <c r="NT55" s="13"/>
      <c r="NU55" s="13"/>
      <c r="NV55" s="13"/>
      <c r="NW55" s="13"/>
      <c r="NX55" s="13"/>
      <c r="NY55" s="13"/>
      <c r="NZ55" s="13"/>
      <c r="OA55" s="13"/>
      <c r="OB55" s="13"/>
      <c r="OC55" s="13"/>
      <c r="OD55" s="13"/>
      <c r="OE55" s="13"/>
      <c r="OF55" s="13"/>
      <c r="OG55" s="13"/>
      <c r="OH55" s="13"/>
      <c r="OI55" s="13"/>
      <c r="OJ55" s="13"/>
      <c r="OK55" s="13"/>
      <c r="OL55" s="13"/>
      <c r="OM55" s="13"/>
      <c r="ON55" s="13"/>
      <c r="OO55" s="13"/>
      <c r="OP55" s="13"/>
      <c r="OQ55" s="13"/>
      <c r="OR55" s="13"/>
      <c r="OS55" s="13"/>
      <c r="OT55" s="13"/>
      <c r="OU55" s="13"/>
      <c r="OV55" s="13"/>
      <c r="OW55" s="13"/>
      <c r="OX55" s="13"/>
      <c r="OY55" s="13"/>
      <c r="OZ55" s="13"/>
      <c r="PA55" s="13"/>
      <c r="PB55" s="13"/>
      <c r="PC55" s="13"/>
      <c r="PD55" s="13"/>
      <c r="PE55" s="13"/>
      <c r="PF55" s="13"/>
      <c r="PG55" s="13"/>
      <c r="PH55" s="13"/>
      <c r="PI55" s="13"/>
      <c r="PJ55" s="13"/>
      <c r="PK55" s="13"/>
      <c r="PL55" s="13"/>
      <c r="PM55" s="13"/>
      <c r="PN55" s="13"/>
      <c r="PO55" s="13"/>
      <c r="PP55" s="13"/>
      <c r="PQ55" s="13"/>
      <c r="PR55" s="13"/>
      <c r="PS55" s="13"/>
      <c r="PT55" s="13"/>
      <c r="PU55" s="13"/>
      <c r="PV55" s="13"/>
      <c r="PW55" s="13"/>
    </row>
    <row r="56" spans="1:439" s="14" customFormat="1" x14ac:dyDescent="0.2">
      <c r="A56" s="88" t="s">
        <v>93</v>
      </c>
      <c r="B56" s="10" t="s">
        <v>338</v>
      </c>
      <c r="C56" s="93" t="s">
        <v>382</v>
      </c>
      <c r="D56" s="109" t="s">
        <v>1</v>
      </c>
      <c r="E56" s="110">
        <v>1</v>
      </c>
      <c r="F56" s="65">
        <v>27.35</v>
      </c>
      <c r="G56" s="65">
        <v>3.23</v>
      </c>
      <c r="H56" s="63">
        <f t="shared" si="23"/>
        <v>30.580000000000002</v>
      </c>
      <c r="I56" s="63">
        <f t="shared" si="24"/>
        <v>30.580000000000002</v>
      </c>
      <c r="J56" s="12">
        <f t="shared" si="0"/>
        <v>0.25</v>
      </c>
      <c r="K56" s="63">
        <f t="shared" si="25"/>
        <v>38.225000000000001</v>
      </c>
      <c r="L56" s="19">
        <f t="shared" si="30"/>
        <v>6.3746433882959843E-5</v>
      </c>
      <c r="M56" s="80"/>
      <c r="N56" s="80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/>
      <c r="KP56" s="13"/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  <c r="NQ56" s="13"/>
      <c r="NR56" s="13"/>
      <c r="NS56" s="13"/>
      <c r="NT56" s="13"/>
      <c r="NU56" s="13"/>
      <c r="NV56" s="13"/>
      <c r="NW56" s="13"/>
      <c r="NX56" s="13"/>
      <c r="NY56" s="13"/>
      <c r="NZ56" s="13"/>
      <c r="OA56" s="13"/>
      <c r="OB56" s="13"/>
      <c r="OC56" s="13"/>
      <c r="OD56" s="13"/>
      <c r="OE56" s="13"/>
      <c r="OF56" s="13"/>
      <c r="OG56" s="13"/>
      <c r="OH56" s="13"/>
      <c r="OI56" s="13"/>
      <c r="OJ56" s="13"/>
      <c r="OK56" s="13"/>
      <c r="OL56" s="13"/>
      <c r="OM56" s="13"/>
      <c r="ON56" s="13"/>
      <c r="OO56" s="13"/>
      <c r="OP56" s="13"/>
      <c r="OQ56" s="13"/>
      <c r="OR56" s="13"/>
      <c r="OS56" s="13"/>
      <c r="OT56" s="13"/>
      <c r="OU56" s="13"/>
      <c r="OV56" s="13"/>
      <c r="OW56" s="13"/>
      <c r="OX56" s="13"/>
      <c r="OY56" s="13"/>
      <c r="OZ56" s="13"/>
      <c r="PA56" s="13"/>
      <c r="PB56" s="13"/>
      <c r="PC56" s="13"/>
      <c r="PD56" s="13"/>
      <c r="PE56" s="13"/>
      <c r="PF56" s="13"/>
      <c r="PG56" s="13"/>
      <c r="PH56" s="13"/>
      <c r="PI56" s="13"/>
      <c r="PJ56" s="13"/>
      <c r="PK56" s="13"/>
      <c r="PL56" s="13"/>
      <c r="PM56" s="13"/>
      <c r="PN56" s="13"/>
      <c r="PO56" s="13"/>
      <c r="PP56" s="13"/>
      <c r="PQ56" s="13"/>
      <c r="PR56" s="13"/>
      <c r="PS56" s="13"/>
      <c r="PT56" s="13"/>
      <c r="PU56" s="13"/>
      <c r="PV56" s="13"/>
      <c r="PW56" s="13"/>
    </row>
    <row r="57" spans="1:439" s="14" customFormat="1" x14ac:dyDescent="0.2">
      <c r="A57" s="88" t="s">
        <v>94</v>
      </c>
      <c r="B57" s="10" t="s">
        <v>434</v>
      </c>
      <c r="C57" s="93" t="s">
        <v>383</v>
      </c>
      <c r="D57" s="109" t="s">
        <v>1</v>
      </c>
      <c r="E57" s="110">
        <v>12</v>
      </c>
      <c r="F57" s="65">
        <v>24.8</v>
      </c>
      <c r="G57" s="65"/>
      <c r="H57" s="63">
        <f t="shared" si="23"/>
        <v>24.8</v>
      </c>
      <c r="I57" s="63">
        <f t="shared" si="24"/>
        <v>297.60000000000002</v>
      </c>
      <c r="J57" s="12">
        <f t="shared" si="0"/>
        <v>0.25</v>
      </c>
      <c r="K57" s="63">
        <f t="shared" si="25"/>
        <v>372</v>
      </c>
      <c r="L57" s="19">
        <f t="shared" si="30"/>
        <v>6.2037078886752282E-4</v>
      </c>
      <c r="M57" s="80"/>
      <c r="N57" s="80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</row>
    <row r="58" spans="1:439" s="14" customFormat="1" x14ac:dyDescent="0.2">
      <c r="A58" s="88" t="s">
        <v>95</v>
      </c>
      <c r="B58" s="10" t="s">
        <v>435</v>
      </c>
      <c r="C58" s="93" t="s">
        <v>384</v>
      </c>
      <c r="D58" s="109" t="s">
        <v>0</v>
      </c>
      <c r="E58" s="110">
        <v>740</v>
      </c>
      <c r="F58" s="65">
        <v>7.23</v>
      </c>
      <c r="G58" s="65">
        <v>19.72</v>
      </c>
      <c r="H58" s="63">
        <f t="shared" si="23"/>
        <v>26.95</v>
      </c>
      <c r="I58" s="63">
        <f t="shared" si="24"/>
        <v>19943</v>
      </c>
      <c r="J58" s="12">
        <f t="shared" si="0"/>
        <v>0.25</v>
      </c>
      <c r="K58" s="63">
        <f t="shared" si="25"/>
        <v>24928.75</v>
      </c>
      <c r="L58" s="19">
        <f t="shared" si="30"/>
        <v>4.1572764255325967E-2</v>
      </c>
      <c r="M58" s="80"/>
      <c r="N58" s="80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</row>
    <row r="59" spans="1:439" s="14" customFormat="1" x14ac:dyDescent="0.2">
      <c r="A59" s="88" t="s">
        <v>96</v>
      </c>
      <c r="B59" s="10" t="s">
        <v>32</v>
      </c>
      <c r="C59" s="93" t="s">
        <v>385</v>
      </c>
      <c r="D59" s="109" t="s">
        <v>18</v>
      </c>
      <c r="E59" s="110">
        <v>2</v>
      </c>
      <c r="F59" s="65">
        <v>32.24</v>
      </c>
      <c r="G59" s="65"/>
      <c r="H59" s="63">
        <f t="shared" si="23"/>
        <v>32.24</v>
      </c>
      <c r="I59" s="63">
        <f t="shared" si="24"/>
        <v>64.48</v>
      </c>
      <c r="J59" s="12">
        <f t="shared" si="0"/>
        <v>0.25</v>
      </c>
      <c r="K59" s="63">
        <f t="shared" si="25"/>
        <v>80.600000000000009</v>
      </c>
      <c r="L59" s="19">
        <f t="shared" si="30"/>
        <v>1.3441367092129663E-4</v>
      </c>
      <c r="M59" s="80"/>
      <c r="N59" s="80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</row>
    <row r="60" spans="1:439" s="14" customFormat="1" x14ac:dyDescent="0.2">
      <c r="A60" s="88" t="s">
        <v>97</v>
      </c>
      <c r="B60" s="10" t="s">
        <v>340</v>
      </c>
      <c r="C60" s="93" t="s">
        <v>339</v>
      </c>
      <c r="D60" s="109" t="s">
        <v>0</v>
      </c>
      <c r="E60" s="110">
        <f>580+580</f>
        <v>1160</v>
      </c>
      <c r="F60" s="65">
        <v>1.62</v>
      </c>
      <c r="G60" s="65">
        <v>1.18</v>
      </c>
      <c r="H60" s="63">
        <f t="shared" si="23"/>
        <v>2.8</v>
      </c>
      <c r="I60" s="63">
        <f t="shared" si="24"/>
        <v>3248</v>
      </c>
      <c r="J60" s="12">
        <f t="shared" si="0"/>
        <v>0.25</v>
      </c>
      <c r="K60" s="63">
        <f t="shared" si="25"/>
        <v>4060</v>
      </c>
      <c r="L60" s="19">
        <f t="shared" si="30"/>
        <v>6.770713448392857E-3</v>
      </c>
      <c r="M60" s="80"/>
      <c r="N60" s="80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</row>
    <row r="61" spans="1:439" s="14" customFormat="1" x14ac:dyDescent="0.2">
      <c r="A61" s="88" t="s">
        <v>98</v>
      </c>
      <c r="B61" s="129" t="s">
        <v>36</v>
      </c>
      <c r="C61" s="93" t="s">
        <v>405</v>
      </c>
      <c r="D61" s="109" t="s">
        <v>1</v>
      </c>
      <c r="E61" s="102">
        <f>2+30</f>
        <v>32</v>
      </c>
      <c r="F61" s="63">
        <v>12.04</v>
      </c>
      <c r="G61" s="63"/>
      <c r="H61" s="63">
        <f t="shared" si="23"/>
        <v>12.04</v>
      </c>
      <c r="I61" s="63">
        <f t="shared" si="24"/>
        <v>385.28</v>
      </c>
      <c r="J61" s="12">
        <f t="shared" si="0"/>
        <v>0.25</v>
      </c>
      <c r="K61" s="63">
        <f t="shared" si="25"/>
        <v>481.59999999999997</v>
      </c>
      <c r="L61" s="19">
        <f t="shared" si="30"/>
        <v>8.0314669870591119E-4</v>
      </c>
      <c r="M61" s="80"/>
      <c r="N61" s="80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  <c r="IW61" s="13"/>
      <c r="IX61" s="13"/>
      <c r="IY61" s="13"/>
      <c r="IZ61" s="13"/>
      <c r="JA61" s="13"/>
      <c r="JB61" s="13"/>
      <c r="JC61" s="13"/>
      <c r="JD61" s="13"/>
      <c r="JE61" s="13"/>
      <c r="JF61" s="13"/>
      <c r="JG61" s="13"/>
      <c r="JH61" s="13"/>
      <c r="JI61" s="13"/>
      <c r="JJ61" s="13"/>
      <c r="JK61" s="13"/>
      <c r="JL61" s="13"/>
      <c r="JM61" s="13"/>
      <c r="JN61" s="13"/>
      <c r="JO61" s="13"/>
      <c r="JP61" s="13"/>
      <c r="JQ61" s="13"/>
      <c r="JR61" s="13"/>
      <c r="JS61" s="13"/>
      <c r="JT61" s="13"/>
      <c r="JU61" s="13"/>
      <c r="JV61" s="13"/>
      <c r="JW61" s="13"/>
      <c r="JX61" s="13"/>
      <c r="JY61" s="13"/>
      <c r="JZ61" s="13"/>
      <c r="KA61" s="13"/>
      <c r="KB61" s="13"/>
      <c r="KC61" s="13"/>
      <c r="KD61" s="13"/>
      <c r="KE61" s="13"/>
      <c r="KF61" s="13"/>
      <c r="KG61" s="13"/>
      <c r="KH61" s="13"/>
      <c r="KI61" s="13"/>
      <c r="KJ61" s="13"/>
      <c r="KK61" s="13"/>
      <c r="KL61" s="13"/>
      <c r="KM61" s="13"/>
      <c r="KN61" s="13"/>
      <c r="KO61" s="13"/>
      <c r="KP61" s="13"/>
      <c r="KQ61" s="13"/>
      <c r="KR61" s="13"/>
      <c r="KS61" s="13"/>
      <c r="KT61" s="13"/>
      <c r="KU61" s="13"/>
      <c r="KV61" s="13"/>
      <c r="KW61" s="13"/>
      <c r="KX61" s="13"/>
      <c r="KY61" s="13"/>
      <c r="KZ61" s="13"/>
      <c r="LA61" s="13"/>
      <c r="LB61" s="13"/>
      <c r="LC61" s="13"/>
      <c r="LD61" s="13"/>
      <c r="LE61" s="13"/>
      <c r="LF61" s="13"/>
      <c r="LG61" s="13"/>
      <c r="LH61" s="13"/>
      <c r="LI61" s="13"/>
      <c r="LJ61" s="13"/>
      <c r="LK61" s="13"/>
      <c r="LL61" s="13"/>
      <c r="LM61" s="13"/>
      <c r="LN61" s="13"/>
      <c r="LO61" s="13"/>
      <c r="LP61" s="13"/>
      <c r="LQ61" s="13"/>
      <c r="LR61" s="13"/>
      <c r="LS61" s="13"/>
      <c r="LT61" s="13"/>
      <c r="LU61" s="13"/>
      <c r="LV61" s="13"/>
      <c r="LW61" s="13"/>
      <c r="LX61" s="13"/>
      <c r="LY61" s="13"/>
      <c r="LZ61" s="13"/>
      <c r="MA61" s="13"/>
      <c r="MB61" s="13"/>
      <c r="MC61" s="13"/>
      <c r="MD61" s="13"/>
      <c r="ME61" s="13"/>
      <c r="MF61" s="13"/>
      <c r="MG61" s="13"/>
      <c r="MH61" s="13"/>
      <c r="MI61" s="13"/>
      <c r="MJ61" s="13"/>
      <c r="MK61" s="13"/>
      <c r="ML61" s="13"/>
      <c r="MM61" s="13"/>
      <c r="MN61" s="13"/>
      <c r="MO61" s="13"/>
      <c r="MP61" s="13"/>
      <c r="MQ61" s="13"/>
      <c r="MR61" s="13"/>
      <c r="MS61" s="13"/>
      <c r="MT61" s="13"/>
      <c r="MU61" s="13"/>
      <c r="MV61" s="13"/>
      <c r="MW61" s="13"/>
      <c r="MX61" s="13"/>
      <c r="MY61" s="13"/>
      <c r="MZ61" s="13"/>
      <c r="NA61" s="13"/>
      <c r="NB61" s="13"/>
      <c r="NC61" s="13"/>
      <c r="ND61" s="13"/>
      <c r="NE61" s="13"/>
      <c r="NF61" s="13"/>
      <c r="NG61" s="13"/>
      <c r="NH61" s="13"/>
      <c r="NI61" s="13"/>
      <c r="NJ61" s="13"/>
      <c r="NK61" s="13"/>
      <c r="NL61" s="13"/>
      <c r="NM61" s="13"/>
      <c r="NN61" s="13"/>
      <c r="NO61" s="13"/>
      <c r="NP61" s="13"/>
      <c r="NQ61" s="13"/>
      <c r="NR61" s="13"/>
      <c r="NS61" s="13"/>
      <c r="NT61" s="13"/>
      <c r="NU61" s="13"/>
      <c r="NV61" s="13"/>
      <c r="NW61" s="13"/>
      <c r="NX61" s="13"/>
      <c r="NY61" s="13"/>
      <c r="NZ61" s="13"/>
      <c r="OA61" s="13"/>
      <c r="OB61" s="13"/>
      <c r="OC61" s="13"/>
      <c r="OD61" s="13"/>
      <c r="OE61" s="13"/>
      <c r="OF61" s="13"/>
      <c r="OG61" s="13"/>
      <c r="OH61" s="13"/>
      <c r="OI61" s="13"/>
      <c r="OJ61" s="13"/>
      <c r="OK61" s="13"/>
      <c r="OL61" s="13"/>
      <c r="OM61" s="13"/>
      <c r="ON61" s="13"/>
      <c r="OO61" s="13"/>
      <c r="OP61" s="13"/>
      <c r="OQ61" s="13"/>
      <c r="OR61" s="13"/>
      <c r="OS61" s="13"/>
      <c r="OT61" s="13"/>
      <c r="OU61" s="13"/>
      <c r="OV61" s="13"/>
      <c r="OW61" s="13"/>
      <c r="OX61" s="13"/>
      <c r="OY61" s="13"/>
      <c r="OZ61" s="13"/>
      <c r="PA61" s="13"/>
      <c r="PB61" s="13"/>
      <c r="PC61" s="13"/>
      <c r="PD61" s="13"/>
      <c r="PE61" s="13"/>
      <c r="PF61" s="13"/>
      <c r="PG61" s="13"/>
      <c r="PH61" s="13"/>
      <c r="PI61" s="13"/>
      <c r="PJ61" s="13"/>
      <c r="PK61" s="13"/>
      <c r="PL61" s="13"/>
      <c r="PM61" s="13"/>
      <c r="PN61" s="13"/>
      <c r="PO61" s="13"/>
      <c r="PP61" s="13"/>
      <c r="PQ61" s="13"/>
      <c r="PR61" s="13"/>
      <c r="PS61" s="13"/>
      <c r="PT61" s="13"/>
      <c r="PU61" s="13"/>
      <c r="PV61" s="13"/>
      <c r="PW61" s="13"/>
    </row>
    <row r="62" spans="1:439" s="14" customFormat="1" x14ac:dyDescent="0.2">
      <c r="A62" s="88" t="s">
        <v>99</v>
      </c>
      <c r="B62" s="129" t="s">
        <v>37</v>
      </c>
      <c r="C62" s="93" t="s">
        <v>38</v>
      </c>
      <c r="D62" s="109" t="s">
        <v>1</v>
      </c>
      <c r="E62" s="102">
        <f>1+10</f>
        <v>11</v>
      </c>
      <c r="F62" s="63">
        <f>1.64*5</f>
        <v>8.1999999999999993</v>
      </c>
      <c r="G62" s="63"/>
      <c r="H62" s="63">
        <f t="shared" ref="H62:H63" si="34">F62+G62</f>
        <v>8.1999999999999993</v>
      </c>
      <c r="I62" s="63">
        <f t="shared" ref="I62:I63" si="35">E62*H62</f>
        <v>90.199999999999989</v>
      </c>
      <c r="J62" s="12">
        <f t="shared" si="0"/>
        <v>0.25</v>
      </c>
      <c r="K62" s="63">
        <f t="shared" ref="K62:K63" si="36">I62*(1+J62)</f>
        <v>112.74999999999999</v>
      </c>
      <c r="L62" s="19">
        <f t="shared" si="30"/>
        <v>1.8802904958283115E-4</v>
      </c>
      <c r="M62" s="80"/>
      <c r="N62" s="80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  <c r="IW62" s="13"/>
      <c r="IX62" s="13"/>
      <c r="IY62" s="13"/>
      <c r="IZ62" s="13"/>
      <c r="JA62" s="13"/>
      <c r="JB62" s="13"/>
      <c r="JC62" s="13"/>
      <c r="JD62" s="13"/>
      <c r="JE62" s="13"/>
      <c r="JF62" s="13"/>
      <c r="JG62" s="13"/>
      <c r="JH62" s="13"/>
      <c r="JI62" s="13"/>
      <c r="JJ62" s="13"/>
      <c r="JK62" s="13"/>
      <c r="JL62" s="13"/>
      <c r="JM62" s="13"/>
      <c r="JN62" s="13"/>
      <c r="JO62" s="13"/>
      <c r="JP62" s="13"/>
      <c r="JQ62" s="13"/>
      <c r="JR62" s="13"/>
      <c r="JS62" s="13"/>
      <c r="JT62" s="13"/>
      <c r="JU62" s="13"/>
      <c r="JV62" s="13"/>
      <c r="JW62" s="13"/>
      <c r="JX62" s="13"/>
      <c r="JY62" s="13"/>
      <c r="JZ62" s="13"/>
      <c r="KA62" s="13"/>
      <c r="KB62" s="13"/>
      <c r="KC62" s="13"/>
      <c r="KD62" s="13"/>
      <c r="KE62" s="13"/>
      <c r="KF62" s="13"/>
      <c r="KG62" s="13"/>
      <c r="KH62" s="13"/>
      <c r="KI62" s="13"/>
      <c r="KJ62" s="13"/>
      <c r="KK62" s="13"/>
      <c r="KL62" s="13"/>
      <c r="KM62" s="13"/>
      <c r="KN62" s="13"/>
      <c r="KO62" s="13"/>
      <c r="KP62" s="13"/>
      <c r="KQ62" s="13"/>
      <c r="KR62" s="13"/>
      <c r="KS62" s="13"/>
      <c r="KT62" s="13"/>
      <c r="KU62" s="13"/>
      <c r="KV62" s="13"/>
      <c r="KW62" s="13"/>
      <c r="KX62" s="13"/>
      <c r="KY62" s="13"/>
      <c r="KZ62" s="13"/>
      <c r="LA62" s="13"/>
      <c r="LB62" s="13"/>
      <c r="LC62" s="13"/>
      <c r="LD62" s="13"/>
      <c r="LE62" s="13"/>
      <c r="LF62" s="13"/>
      <c r="LG62" s="13"/>
      <c r="LH62" s="13"/>
      <c r="LI62" s="13"/>
      <c r="LJ62" s="13"/>
      <c r="LK62" s="13"/>
      <c r="LL62" s="13"/>
      <c r="LM62" s="13"/>
      <c r="LN62" s="13"/>
      <c r="LO62" s="13"/>
      <c r="LP62" s="13"/>
      <c r="LQ62" s="13"/>
      <c r="LR62" s="13"/>
      <c r="LS62" s="13"/>
      <c r="LT62" s="13"/>
      <c r="LU62" s="13"/>
      <c r="LV62" s="13"/>
      <c r="LW62" s="13"/>
      <c r="LX62" s="13"/>
      <c r="LY62" s="13"/>
      <c r="LZ62" s="13"/>
      <c r="MA62" s="13"/>
      <c r="MB62" s="13"/>
      <c r="MC62" s="13"/>
      <c r="MD62" s="13"/>
      <c r="ME62" s="13"/>
      <c r="MF62" s="13"/>
      <c r="MG62" s="13"/>
      <c r="MH62" s="13"/>
      <c r="MI62" s="13"/>
      <c r="MJ62" s="13"/>
      <c r="MK62" s="13"/>
      <c r="ML62" s="13"/>
      <c r="MM62" s="13"/>
      <c r="MN62" s="13"/>
      <c r="MO62" s="13"/>
      <c r="MP62" s="13"/>
      <c r="MQ62" s="13"/>
      <c r="MR62" s="13"/>
      <c r="MS62" s="13"/>
      <c r="MT62" s="13"/>
      <c r="MU62" s="13"/>
      <c r="MV62" s="13"/>
      <c r="MW62" s="13"/>
      <c r="MX62" s="13"/>
      <c r="MY62" s="13"/>
      <c r="MZ62" s="13"/>
      <c r="NA62" s="13"/>
      <c r="NB62" s="13"/>
      <c r="NC62" s="13"/>
      <c r="ND62" s="13"/>
      <c r="NE62" s="13"/>
      <c r="NF62" s="13"/>
      <c r="NG62" s="13"/>
      <c r="NH62" s="13"/>
      <c r="NI62" s="13"/>
      <c r="NJ62" s="13"/>
      <c r="NK62" s="13"/>
      <c r="NL62" s="13"/>
      <c r="NM62" s="13"/>
      <c r="NN62" s="13"/>
      <c r="NO62" s="13"/>
      <c r="NP62" s="13"/>
      <c r="NQ62" s="13"/>
      <c r="NR62" s="13"/>
      <c r="NS62" s="13"/>
      <c r="NT62" s="13"/>
      <c r="NU62" s="13"/>
      <c r="NV62" s="13"/>
      <c r="NW62" s="13"/>
      <c r="NX62" s="13"/>
      <c r="NY62" s="13"/>
      <c r="NZ62" s="13"/>
      <c r="OA62" s="13"/>
      <c r="OB62" s="13"/>
      <c r="OC62" s="13"/>
      <c r="OD62" s="13"/>
      <c r="OE62" s="13"/>
      <c r="OF62" s="13"/>
      <c r="OG62" s="13"/>
      <c r="OH62" s="13"/>
      <c r="OI62" s="13"/>
      <c r="OJ62" s="13"/>
      <c r="OK62" s="13"/>
      <c r="OL62" s="13"/>
      <c r="OM62" s="13"/>
      <c r="ON62" s="13"/>
      <c r="OO62" s="13"/>
      <c r="OP62" s="13"/>
      <c r="OQ62" s="13"/>
      <c r="OR62" s="13"/>
      <c r="OS62" s="13"/>
      <c r="OT62" s="13"/>
      <c r="OU62" s="13"/>
      <c r="OV62" s="13"/>
      <c r="OW62" s="13"/>
      <c r="OX62" s="13"/>
      <c r="OY62" s="13"/>
      <c r="OZ62" s="13"/>
      <c r="PA62" s="13"/>
      <c r="PB62" s="13"/>
      <c r="PC62" s="13"/>
      <c r="PD62" s="13"/>
      <c r="PE62" s="13"/>
      <c r="PF62" s="13"/>
      <c r="PG62" s="13"/>
      <c r="PH62" s="13"/>
      <c r="PI62" s="13"/>
      <c r="PJ62" s="13"/>
      <c r="PK62" s="13"/>
      <c r="PL62" s="13"/>
      <c r="PM62" s="13"/>
      <c r="PN62" s="13"/>
      <c r="PO62" s="13"/>
      <c r="PP62" s="13"/>
      <c r="PQ62" s="13"/>
      <c r="PR62" s="13"/>
      <c r="PS62" s="13"/>
      <c r="PT62" s="13"/>
      <c r="PU62" s="13"/>
      <c r="PV62" s="13"/>
      <c r="PW62" s="13"/>
    </row>
    <row r="63" spans="1:439" s="14" customFormat="1" x14ac:dyDescent="0.2">
      <c r="A63" s="88" t="s">
        <v>99</v>
      </c>
      <c r="B63" s="10" t="s">
        <v>441</v>
      </c>
      <c r="C63" s="138" t="s">
        <v>386</v>
      </c>
      <c r="D63" s="109" t="s">
        <v>18</v>
      </c>
      <c r="E63" s="110">
        <v>1</v>
      </c>
      <c r="F63" s="65">
        <v>44.56</v>
      </c>
      <c r="G63" s="65"/>
      <c r="H63" s="63">
        <f t="shared" si="34"/>
        <v>44.56</v>
      </c>
      <c r="I63" s="63">
        <f t="shared" si="35"/>
        <v>44.56</v>
      </c>
      <c r="J63" s="12">
        <f t="shared" si="0"/>
        <v>0.25</v>
      </c>
      <c r="K63" s="63">
        <f t="shared" si="36"/>
        <v>55.7</v>
      </c>
      <c r="L63" s="19">
        <f t="shared" si="30"/>
        <v>9.2888851989035009E-5</v>
      </c>
      <c r="M63" s="80"/>
      <c r="N63" s="80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  <c r="IW63" s="13"/>
      <c r="IX63" s="13"/>
      <c r="IY63" s="13"/>
      <c r="IZ63" s="13"/>
      <c r="JA63" s="13"/>
      <c r="JB63" s="13"/>
      <c r="JC63" s="13"/>
      <c r="JD63" s="13"/>
      <c r="JE63" s="13"/>
      <c r="JF63" s="13"/>
      <c r="JG63" s="13"/>
      <c r="JH63" s="13"/>
      <c r="JI63" s="13"/>
      <c r="JJ63" s="13"/>
      <c r="JK63" s="13"/>
      <c r="JL63" s="13"/>
      <c r="JM63" s="13"/>
      <c r="JN63" s="13"/>
      <c r="JO63" s="13"/>
      <c r="JP63" s="13"/>
      <c r="JQ63" s="13"/>
      <c r="JR63" s="13"/>
      <c r="JS63" s="13"/>
      <c r="JT63" s="13"/>
      <c r="JU63" s="13"/>
      <c r="JV63" s="13"/>
      <c r="JW63" s="13"/>
      <c r="JX63" s="13"/>
      <c r="JY63" s="13"/>
      <c r="JZ63" s="13"/>
      <c r="KA63" s="13"/>
      <c r="KB63" s="13"/>
      <c r="KC63" s="13"/>
      <c r="KD63" s="13"/>
      <c r="KE63" s="13"/>
      <c r="KF63" s="13"/>
      <c r="KG63" s="13"/>
      <c r="KH63" s="13"/>
      <c r="KI63" s="13"/>
      <c r="KJ63" s="13"/>
      <c r="KK63" s="13"/>
      <c r="KL63" s="13"/>
      <c r="KM63" s="13"/>
      <c r="KN63" s="13"/>
      <c r="KO63" s="13"/>
      <c r="KP63" s="13"/>
      <c r="KQ63" s="13"/>
      <c r="KR63" s="13"/>
      <c r="KS63" s="13"/>
      <c r="KT63" s="13"/>
      <c r="KU63" s="13"/>
      <c r="KV63" s="13"/>
      <c r="KW63" s="13"/>
      <c r="KX63" s="13"/>
      <c r="KY63" s="13"/>
      <c r="KZ63" s="13"/>
      <c r="LA63" s="13"/>
      <c r="LB63" s="13"/>
      <c r="LC63" s="13"/>
      <c r="LD63" s="13"/>
      <c r="LE63" s="13"/>
      <c r="LF63" s="13"/>
      <c r="LG63" s="13"/>
      <c r="LH63" s="13"/>
      <c r="LI63" s="13"/>
      <c r="LJ63" s="13"/>
      <c r="LK63" s="13"/>
      <c r="LL63" s="13"/>
      <c r="LM63" s="13"/>
      <c r="LN63" s="13"/>
      <c r="LO63" s="13"/>
      <c r="LP63" s="13"/>
      <c r="LQ63" s="13"/>
      <c r="LR63" s="13"/>
      <c r="LS63" s="13"/>
      <c r="LT63" s="13"/>
      <c r="LU63" s="13"/>
      <c r="LV63" s="13"/>
      <c r="LW63" s="13"/>
      <c r="LX63" s="13"/>
      <c r="LY63" s="13"/>
      <c r="LZ63" s="13"/>
      <c r="MA63" s="13"/>
      <c r="MB63" s="13"/>
      <c r="MC63" s="13"/>
      <c r="MD63" s="13"/>
      <c r="ME63" s="13"/>
      <c r="MF63" s="13"/>
      <c r="MG63" s="13"/>
      <c r="MH63" s="13"/>
      <c r="MI63" s="13"/>
      <c r="MJ63" s="13"/>
      <c r="MK63" s="13"/>
      <c r="ML63" s="13"/>
      <c r="MM63" s="13"/>
      <c r="MN63" s="13"/>
      <c r="MO63" s="13"/>
      <c r="MP63" s="13"/>
      <c r="MQ63" s="13"/>
      <c r="MR63" s="13"/>
      <c r="MS63" s="13"/>
      <c r="MT63" s="13"/>
      <c r="MU63" s="13"/>
      <c r="MV63" s="13"/>
      <c r="MW63" s="13"/>
      <c r="MX63" s="13"/>
      <c r="MY63" s="13"/>
      <c r="MZ63" s="13"/>
      <c r="NA63" s="13"/>
      <c r="NB63" s="13"/>
      <c r="NC63" s="13"/>
      <c r="ND63" s="13"/>
      <c r="NE63" s="13"/>
      <c r="NF63" s="13"/>
      <c r="NG63" s="13"/>
      <c r="NH63" s="13"/>
      <c r="NI63" s="13"/>
      <c r="NJ63" s="13"/>
      <c r="NK63" s="13"/>
      <c r="NL63" s="13"/>
      <c r="NM63" s="13"/>
      <c r="NN63" s="13"/>
      <c r="NO63" s="13"/>
      <c r="NP63" s="13"/>
      <c r="NQ63" s="13"/>
      <c r="NR63" s="13"/>
      <c r="NS63" s="13"/>
      <c r="NT63" s="13"/>
      <c r="NU63" s="13"/>
      <c r="NV63" s="13"/>
      <c r="NW63" s="13"/>
      <c r="NX63" s="13"/>
      <c r="NY63" s="13"/>
      <c r="NZ63" s="13"/>
      <c r="OA63" s="13"/>
      <c r="OB63" s="13"/>
      <c r="OC63" s="13"/>
      <c r="OD63" s="13"/>
      <c r="OE63" s="13"/>
      <c r="OF63" s="13"/>
      <c r="OG63" s="13"/>
      <c r="OH63" s="13"/>
      <c r="OI63" s="13"/>
      <c r="OJ63" s="13"/>
      <c r="OK63" s="13"/>
      <c r="OL63" s="13"/>
      <c r="OM63" s="13"/>
      <c r="ON63" s="13"/>
      <c r="OO63" s="13"/>
      <c r="OP63" s="13"/>
      <c r="OQ63" s="13"/>
      <c r="OR63" s="13"/>
      <c r="OS63" s="13"/>
      <c r="OT63" s="13"/>
      <c r="OU63" s="13"/>
      <c r="OV63" s="13"/>
      <c r="OW63" s="13"/>
      <c r="OX63" s="13"/>
      <c r="OY63" s="13"/>
      <c r="OZ63" s="13"/>
      <c r="PA63" s="13"/>
      <c r="PB63" s="13"/>
      <c r="PC63" s="13"/>
      <c r="PD63" s="13"/>
      <c r="PE63" s="13"/>
      <c r="PF63" s="13"/>
      <c r="PG63" s="13"/>
      <c r="PH63" s="13"/>
      <c r="PI63" s="13"/>
      <c r="PJ63" s="13"/>
      <c r="PK63" s="13"/>
      <c r="PL63" s="13"/>
      <c r="PM63" s="13"/>
      <c r="PN63" s="13"/>
      <c r="PO63" s="13"/>
      <c r="PP63" s="13"/>
      <c r="PQ63" s="13"/>
      <c r="PR63" s="13"/>
      <c r="PS63" s="13"/>
      <c r="PT63" s="13"/>
      <c r="PU63" s="13"/>
      <c r="PV63" s="13"/>
      <c r="PW63" s="13"/>
    </row>
    <row r="64" spans="1:439" s="14" customFormat="1" x14ac:dyDescent="0.2">
      <c r="A64" s="88" t="s">
        <v>99</v>
      </c>
      <c r="B64" s="10" t="s">
        <v>32</v>
      </c>
      <c r="C64" s="93" t="s">
        <v>57</v>
      </c>
      <c r="D64" s="109" t="s">
        <v>387</v>
      </c>
      <c r="E64" s="110">
        <v>1</v>
      </c>
      <c r="F64" s="65">
        <f>155.87</f>
        <v>155.87</v>
      </c>
      <c r="G64" s="65"/>
      <c r="H64" s="63">
        <f t="shared" si="23"/>
        <v>155.87</v>
      </c>
      <c r="I64" s="63">
        <f t="shared" si="24"/>
        <v>155.87</v>
      </c>
      <c r="J64" s="12">
        <f t="shared" si="0"/>
        <v>0.25</v>
      </c>
      <c r="K64" s="63">
        <f t="shared" si="25"/>
        <v>194.83750000000001</v>
      </c>
      <c r="L64" s="19">
        <f t="shared" si="30"/>
        <v>3.249233698278924E-4</v>
      </c>
      <c r="M64" s="80"/>
      <c r="N64" s="80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  <c r="IW64" s="13"/>
      <c r="IX64" s="13"/>
      <c r="IY64" s="13"/>
      <c r="IZ64" s="13"/>
      <c r="JA64" s="13"/>
      <c r="JB64" s="13"/>
      <c r="JC64" s="13"/>
      <c r="JD64" s="13"/>
      <c r="JE64" s="13"/>
      <c r="JF64" s="13"/>
      <c r="JG64" s="13"/>
      <c r="JH64" s="13"/>
      <c r="JI64" s="13"/>
      <c r="JJ64" s="13"/>
      <c r="JK64" s="13"/>
      <c r="JL64" s="13"/>
      <c r="JM64" s="13"/>
      <c r="JN64" s="13"/>
      <c r="JO64" s="13"/>
      <c r="JP64" s="13"/>
      <c r="JQ64" s="13"/>
      <c r="JR64" s="13"/>
      <c r="JS64" s="13"/>
      <c r="JT64" s="13"/>
      <c r="JU64" s="13"/>
      <c r="JV64" s="13"/>
      <c r="JW64" s="13"/>
      <c r="JX64" s="13"/>
      <c r="JY64" s="13"/>
      <c r="JZ64" s="13"/>
      <c r="KA64" s="13"/>
      <c r="KB64" s="13"/>
      <c r="KC64" s="13"/>
      <c r="KD64" s="13"/>
      <c r="KE64" s="13"/>
      <c r="KF64" s="13"/>
      <c r="KG64" s="13"/>
      <c r="KH64" s="13"/>
      <c r="KI64" s="13"/>
      <c r="KJ64" s="13"/>
      <c r="KK64" s="13"/>
      <c r="KL64" s="13"/>
      <c r="KM64" s="13"/>
      <c r="KN64" s="13"/>
      <c r="KO64" s="13"/>
      <c r="KP64" s="13"/>
      <c r="KQ64" s="13"/>
      <c r="KR64" s="13"/>
      <c r="KS64" s="13"/>
      <c r="KT64" s="13"/>
      <c r="KU64" s="13"/>
      <c r="KV64" s="13"/>
      <c r="KW64" s="13"/>
      <c r="KX64" s="13"/>
      <c r="KY64" s="13"/>
      <c r="KZ64" s="13"/>
      <c r="LA64" s="13"/>
      <c r="LB64" s="13"/>
      <c r="LC64" s="13"/>
      <c r="LD64" s="13"/>
      <c r="LE64" s="13"/>
      <c r="LF64" s="13"/>
      <c r="LG64" s="13"/>
      <c r="LH64" s="13"/>
      <c r="LI64" s="13"/>
      <c r="LJ64" s="13"/>
      <c r="LK64" s="13"/>
      <c r="LL64" s="13"/>
      <c r="LM64" s="13"/>
      <c r="LN64" s="13"/>
      <c r="LO64" s="13"/>
      <c r="LP64" s="13"/>
      <c r="LQ64" s="13"/>
      <c r="LR64" s="13"/>
      <c r="LS64" s="13"/>
      <c r="LT64" s="13"/>
      <c r="LU64" s="13"/>
      <c r="LV64" s="13"/>
      <c r="LW64" s="13"/>
      <c r="LX64" s="13"/>
      <c r="LY64" s="13"/>
      <c r="LZ64" s="13"/>
      <c r="MA64" s="13"/>
      <c r="MB64" s="13"/>
      <c r="MC64" s="13"/>
      <c r="MD64" s="13"/>
      <c r="ME64" s="13"/>
      <c r="MF64" s="13"/>
      <c r="MG64" s="13"/>
      <c r="MH64" s="13"/>
      <c r="MI64" s="13"/>
      <c r="MJ64" s="13"/>
      <c r="MK64" s="13"/>
      <c r="ML64" s="13"/>
      <c r="MM64" s="13"/>
      <c r="MN64" s="13"/>
      <c r="MO64" s="13"/>
      <c r="MP64" s="13"/>
      <c r="MQ64" s="13"/>
      <c r="MR64" s="13"/>
      <c r="MS64" s="13"/>
      <c r="MT64" s="13"/>
      <c r="MU64" s="13"/>
      <c r="MV64" s="13"/>
      <c r="MW64" s="13"/>
      <c r="MX64" s="13"/>
      <c r="MY64" s="13"/>
      <c r="MZ64" s="13"/>
      <c r="NA64" s="13"/>
      <c r="NB64" s="13"/>
      <c r="NC64" s="13"/>
      <c r="ND64" s="13"/>
      <c r="NE64" s="13"/>
      <c r="NF64" s="13"/>
      <c r="NG64" s="13"/>
      <c r="NH64" s="13"/>
      <c r="NI64" s="13"/>
      <c r="NJ64" s="13"/>
      <c r="NK64" s="13"/>
      <c r="NL64" s="13"/>
      <c r="NM64" s="13"/>
      <c r="NN64" s="13"/>
      <c r="NO64" s="13"/>
      <c r="NP64" s="13"/>
      <c r="NQ64" s="13"/>
      <c r="NR64" s="13"/>
      <c r="NS64" s="13"/>
      <c r="NT64" s="13"/>
      <c r="NU64" s="13"/>
      <c r="NV64" s="13"/>
      <c r="NW64" s="13"/>
      <c r="NX64" s="13"/>
      <c r="NY64" s="13"/>
      <c r="NZ64" s="13"/>
      <c r="OA64" s="13"/>
      <c r="OB64" s="13"/>
      <c r="OC64" s="13"/>
      <c r="OD64" s="13"/>
      <c r="OE64" s="13"/>
      <c r="OF64" s="13"/>
      <c r="OG64" s="13"/>
      <c r="OH64" s="13"/>
      <c r="OI64" s="13"/>
      <c r="OJ64" s="13"/>
      <c r="OK64" s="13"/>
      <c r="OL64" s="13"/>
      <c r="OM64" s="13"/>
      <c r="ON64" s="13"/>
      <c r="OO64" s="13"/>
      <c r="OP64" s="13"/>
      <c r="OQ64" s="13"/>
      <c r="OR64" s="13"/>
      <c r="OS64" s="13"/>
      <c r="OT64" s="13"/>
      <c r="OU64" s="13"/>
      <c r="OV64" s="13"/>
      <c r="OW64" s="13"/>
      <c r="OX64" s="13"/>
      <c r="OY64" s="13"/>
      <c r="OZ64" s="13"/>
      <c r="PA64" s="13"/>
      <c r="PB64" s="13"/>
      <c r="PC64" s="13"/>
      <c r="PD64" s="13"/>
      <c r="PE64" s="13"/>
      <c r="PF64" s="13"/>
      <c r="PG64" s="13"/>
      <c r="PH64" s="13"/>
      <c r="PI64" s="13"/>
      <c r="PJ64" s="13"/>
      <c r="PK64" s="13"/>
      <c r="PL64" s="13"/>
      <c r="PM64" s="13"/>
      <c r="PN64" s="13"/>
      <c r="PO64" s="13"/>
      <c r="PP64" s="13"/>
      <c r="PQ64" s="13"/>
      <c r="PR64" s="13"/>
      <c r="PS64" s="13"/>
      <c r="PT64" s="13"/>
      <c r="PU64" s="13"/>
      <c r="PV64" s="13"/>
      <c r="PW64" s="13"/>
    </row>
    <row r="65" spans="1:439" s="14" customFormat="1" x14ac:dyDescent="0.2">
      <c r="A65" s="88" t="s">
        <v>100</v>
      </c>
      <c r="B65" s="129" t="s">
        <v>39</v>
      </c>
      <c r="C65" s="93" t="s">
        <v>51</v>
      </c>
      <c r="D65" s="109" t="s">
        <v>1</v>
      </c>
      <c r="E65" s="102">
        <f>4+28</f>
        <v>32</v>
      </c>
      <c r="F65" s="63">
        <v>40.130000000000003</v>
      </c>
      <c r="G65" s="63">
        <v>9.9499999999999993</v>
      </c>
      <c r="H65" s="63">
        <f t="shared" ref="H65" si="37">F65+G65</f>
        <v>50.08</v>
      </c>
      <c r="I65" s="63">
        <f t="shared" ref="I65" si="38">E65*H65</f>
        <v>1602.56</v>
      </c>
      <c r="J65" s="12">
        <f t="shared" si="0"/>
        <v>0.25</v>
      </c>
      <c r="K65" s="63">
        <f t="shared" ref="K65" si="39">I65*(1+J65)</f>
        <v>2003.1999999999998</v>
      </c>
      <c r="L65" s="19">
        <f t="shared" si="30"/>
        <v>3.3406633447833913E-3</v>
      </c>
      <c r="M65" s="80"/>
      <c r="N65" s="80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3"/>
      <c r="JA65" s="13"/>
      <c r="JB65" s="13"/>
      <c r="JC65" s="13"/>
      <c r="JD65" s="13"/>
      <c r="JE65" s="13"/>
      <c r="JF65" s="13"/>
      <c r="JG65" s="13"/>
      <c r="JH65" s="13"/>
      <c r="JI65" s="13"/>
      <c r="JJ65" s="13"/>
      <c r="JK65" s="13"/>
      <c r="JL65" s="13"/>
      <c r="JM65" s="13"/>
      <c r="JN65" s="13"/>
      <c r="JO65" s="13"/>
      <c r="JP65" s="13"/>
      <c r="JQ65" s="13"/>
      <c r="JR65" s="13"/>
      <c r="JS65" s="13"/>
      <c r="JT65" s="13"/>
      <c r="JU65" s="13"/>
      <c r="JV65" s="13"/>
      <c r="JW65" s="13"/>
      <c r="JX65" s="13"/>
      <c r="JY65" s="13"/>
      <c r="JZ65" s="13"/>
      <c r="KA65" s="13"/>
      <c r="KB65" s="13"/>
      <c r="KC65" s="13"/>
      <c r="KD65" s="13"/>
      <c r="KE65" s="13"/>
      <c r="KF65" s="13"/>
      <c r="KG65" s="13"/>
      <c r="KH65" s="13"/>
      <c r="KI65" s="13"/>
      <c r="KJ65" s="13"/>
      <c r="KK65" s="13"/>
      <c r="KL65" s="13"/>
      <c r="KM65" s="13"/>
      <c r="KN65" s="13"/>
      <c r="KO65" s="13"/>
      <c r="KP65" s="13"/>
      <c r="KQ65" s="13"/>
      <c r="KR65" s="13"/>
      <c r="KS65" s="13"/>
      <c r="KT65" s="13"/>
      <c r="KU65" s="13"/>
      <c r="KV65" s="13"/>
      <c r="KW65" s="13"/>
      <c r="KX65" s="13"/>
      <c r="KY65" s="13"/>
      <c r="KZ65" s="13"/>
      <c r="LA65" s="13"/>
      <c r="LB65" s="13"/>
      <c r="LC65" s="13"/>
      <c r="LD65" s="13"/>
      <c r="LE65" s="13"/>
      <c r="LF65" s="13"/>
      <c r="LG65" s="13"/>
      <c r="LH65" s="13"/>
      <c r="LI65" s="13"/>
      <c r="LJ65" s="13"/>
      <c r="LK65" s="13"/>
      <c r="LL65" s="13"/>
      <c r="LM65" s="13"/>
      <c r="LN65" s="13"/>
      <c r="LO65" s="13"/>
      <c r="LP65" s="13"/>
      <c r="LQ65" s="13"/>
      <c r="LR65" s="13"/>
      <c r="LS65" s="13"/>
      <c r="LT65" s="13"/>
      <c r="LU65" s="13"/>
      <c r="LV65" s="13"/>
      <c r="LW65" s="13"/>
      <c r="LX65" s="13"/>
      <c r="LY65" s="13"/>
      <c r="LZ65" s="13"/>
      <c r="MA65" s="13"/>
      <c r="MB65" s="13"/>
      <c r="MC65" s="13"/>
      <c r="MD65" s="13"/>
      <c r="ME65" s="13"/>
      <c r="MF65" s="13"/>
      <c r="MG65" s="13"/>
      <c r="MH65" s="13"/>
      <c r="MI65" s="13"/>
      <c r="MJ65" s="13"/>
      <c r="MK65" s="13"/>
      <c r="ML65" s="13"/>
      <c r="MM65" s="13"/>
      <c r="MN65" s="13"/>
      <c r="MO65" s="13"/>
      <c r="MP65" s="13"/>
      <c r="MQ65" s="13"/>
      <c r="MR65" s="13"/>
      <c r="MS65" s="13"/>
      <c r="MT65" s="13"/>
      <c r="MU65" s="13"/>
      <c r="MV65" s="13"/>
      <c r="MW65" s="13"/>
      <c r="MX65" s="13"/>
      <c r="MY65" s="13"/>
      <c r="MZ65" s="13"/>
      <c r="NA65" s="13"/>
      <c r="NB65" s="13"/>
      <c r="NC65" s="13"/>
      <c r="ND65" s="13"/>
      <c r="NE65" s="13"/>
      <c r="NF65" s="13"/>
      <c r="NG65" s="13"/>
      <c r="NH65" s="13"/>
      <c r="NI65" s="13"/>
      <c r="NJ65" s="13"/>
      <c r="NK65" s="13"/>
      <c r="NL65" s="13"/>
      <c r="NM65" s="13"/>
      <c r="NN65" s="13"/>
      <c r="NO65" s="13"/>
      <c r="NP65" s="13"/>
      <c r="NQ65" s="13"/>
      <c r="NR65" s="13"/>
      <c r="NS65" s="13"/>
      <c r="NT65" s="13"/>
      <c r="NU65" s="13"/>
      <c r="NV65" s="13"/>
      <c r="NW65" s="13"/>
      <c r="NX65" s="13"/>
      <c r="NY65" s="13"/>
      <c r="NZ65" s="13"/>
      <c r="OA65" s="13"/>
      <c r="OB65" s="13"/>
      <c r="OC65" s="13"/>
      <c r="OD65" s="13"/>
      <c r="OE65" s="13"/>
      <c r="OF65" s="13"/>
      <c r="OG65" s="13"/>
      <c r="OH65" s="13"/>
      <c r="OI65" s="13"/>
      <c r="OJ65" s="13"/>
      <c r="OK65" s="13"/>
      <c r="OL65" s="13"/>
      <c r="OM65" s="13"/>
      <c r="ON65" s="13"/>
      <c r="OO65" s="13"/>
      <c r="OP65" s="13"/>
      <c r="OQ65" s="13"/>
      <c r="OR65" s="13"/>
      <c r="OS65" s="13"/>
      <c r="OT65" s="13"/>
      <c r="OU65" s="13"/>
      <c r="OV65" s="13"/>
      <c r="OW65" s="13"/>
      <c r="OX65" s="13"/>
      <c r="OY65" s="13"/>
      <c r="OZ65" s="13"/>
      <c r="PA65" s="13"/>
      <c r="PB65" s="13"/>
      <c r="PC65" s="13"/>
      <c r="PD65" s="13"/>
      <c r="PE65" s="13"/>
      <c r="PF65" s="13"/>
      <c r="PG65" s="13"/>
      <c r="PH65" s="13"/>
      <c r="PI65" s="13"/>
      <c r="PJ65" s="13"/>
      <c r="PK65" s="13"/>
      <c r="PL65" s="13"/>
      <c r="PM65" s="13"/>
      <c r="PN65" s="13"/>
      <c r="PO65" s="13"/>
      <c r="PP65" s="13"/>
      <c r="PQ65" s="13"/>
      <c r="PR65" s="13"/>
      <c r="PS65" s="13"/>
      <c r="PT65" s="13"/>
      <c r="PU65" s="13"/>
      <c r="PV65" s="13"/>
      <c r="PW65" s="13"/>
    </row>
    <row r="66" spans="1:439" s="14" customFormat="1" x14ac:dyDescent="0.2">
      <c r="A66" s="88" t="s">
        <v>101</v>
      </c>
      <c r="B66" s="141" t="s">
        <v>348</v>
      </c>
      <c r="C66" s="15" t="s">
        <v>413</v>
      </c>
      <c r="D66" s="142" t="s">
        <v>324</v>
      </c>
      <c r="E66" s="102">
        <f>14*0.7</f>
        <v>9.7999999999999989</v>
      </c>
      <c r="F66" s="65"/>
      <c r="G66" s="65">
        <v>59</v>
      </c>
      <c r="H66" s="63">
        <f t="shared" si="23"/>
        <v>59</v>
      </c>
      <c r="I66" s="63">
        <f t="shared" si="24"/>
        <v>578.19999999999993</v>
      </c>
      <c r="J66" s="12">
        <f t="shared" si="0"/>
        <v>0.25</v>
      </c>
      <c r="K66" s="63">
        <f t="shared" si="25"/>
        <v>722.74999999999989</v>
      </c>
      <c r="L66" s="19">
        <f t="shared" si="30"/>
        <v>1.2053037302526936E-3</v>
      </c>
      <c r="M66" s="80"/>
      <c r="N66" s="80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  <c r="IW66" s="13"/>
      <c r="IX66" s="13"/>
      <c r="IY66" s="13"/>
      <c r="IZ66" s="13"/>
      <c r="JA66" s="13"/>
      <c r="JB66" s="13"/>
      <c r="JC66" s="13"/>
      <c r="JD66" s="13"/>
      <c r="JE66" s="13"/>
      <c r="JF66" s="13"/>
      <c r="JG66" s="13"/>
      <c r="JH66" s="13"/>
      <c r="JI66" s="13"/>
      <c r="JJ66" s="13"/>
      <c r="JK66" s="13"/>
      <c r="JL66" s="13"/>
      <c r="JM66" s="13"/>
      <c r="JN66" s="13"/>
      <c r="JO66" s="13"/>
      <c r="JP66" s="13"/>
      <c r="JQ66" s="13"/>
      <c r="JR66" s="13"/>
      <c r="JS66" s="13"/>
      <c r="JT66" s="13"/>
      <c r="JU66" s="13"/>
      <c r="JV66" s="13"/>
      <c r="JW66" s="13"/>
      <c r="JX66" s="13"/>
      <c r="JY66" s="13"/>
      <c r="JZ66" s="13"/>
      <c r="KA66" s="13"/>
      <c r="KB66" s="13"/>
      <c r="KC66" s="13"/>
      <c r="KD66" s="13"/>
      <c r="KE66" s="13"/>
      <c r="KF66" s="13"/>
      <c r="KG66" s="13"/>
      <c r="KH66" s="13"/>
      <c r="KI66" s="13"/>
      <c r="KJ66" s="13"/>
      <c r="KK66" s="13"/>
      <c r="KL66" s="13"/>
      <c r="KM66" s="13"/>
      <c r="KN66" s="13"/>
      <c r="KO66" s="13"/>
      <c r="KP66" s="13"/>
      <c r="KQ66" s="13"/>
      <c r="KR66" s="13"/>
      <c r="KS66" s="13"/>
      <c r="KT66" s="13"/>
      <c r="KU66" s="13"/>
      <c r="KV66" s="13"/>
      <c r="KW66" s="13"/>
      <c r="KX66" s="13"/>
      <c r="KY66" s="13"/>
      <c r="KZ66" s="13"/>
      <c r="LA66" s="13"/>
      <c r="LB66" s="13"/>
      <c r="LC66" s="13"/>
      <c r="LD66" s="13"/>
      <c r="LE66" s="13"/>
      <c r="LF66" s="13"/>
      <c r="LG66" s="13"/>
      <c r="LH66" s="13"/>
      <c r="LI66" s="13"/>
      <c r="LJ66" s="13"/>
      <c r="LK66" s="13"/>
      <c r="LL66" s="13"/>
      <c r="LM66" s="13"/>
      <c r="LN66" s="13"/>
      <c r="LO66" s="13"/>
      <c r="LP66" s="13"/>
      <c r="LQ66" s="13"/>
      <c r="LR66" s="13"/>
      <c r="LS66" s="13"/>
      <c r="LT66" s="13"/>
      <c r="LU66" s="13"/>
      <c r="LV66" s="13"/>
      <c r="LW66" s="13"/>
      <c r="LX66" s="13"/>
      <c r="LY66" s="13"/>
      <c r="LZ66" s="13"/>
      <c r="MA66" s="13"/>
      <c r="MB66" s="13"/>
      <c r="MC66" s="13"/>
      <c r="MD66" s="13"/>
      <c r="ME66" s="13"/>
      <c r="MF66" s="13"/>
      <c r="MG66" s="13"/>
      <c r="MH66" s="13"/>
      <c r="MI66" s="13"/>
      <c r="MJ66" s="13"/>
      <c r="MK66" s="13"/>
      <c r="ML66" s="13"/>
      <c r="MM66" s="13"/>
      <c r="MN66" s="13"/>
      <c r="MO66" s="13"/>
      <c r="MP66" s="13"/>
      <c r="MQ66" s="13"/>
      <c r="MR66" s="13"/>
      <c r="MS66" s="13"/>
      <c r="MT66" s="13"/>
      <c r="MU66" s="13"/>
      <c r="MV66" s="13"/>
      <c r="MW66" s="13"/>
      <c r="MX66" s="13"/>
      <c r="MY66" s="13"/>
      <c r="MZ66" s="13"/>
      <c r="NA66" s="13"/>
      <c r="NB66" s="13"/>
      <c r="NC66" s="13"/>
      <c r="ND66" s="13"/>
      <c r="NE66" s="13"/>
      <c r="NF66" s="13"/>
      <c r="NG66" s="13"/>
      <c r="NH66" s="13"/>
      <c r="NI66" s="13"/>
      <c r="NJ66" s="13"/>
      <c r="NK66" s="13"/>
      <c r="NL66" s="13"/>
      <c r="NM66" s="13"/>
      <c r="NN66" s="13"/>
      <c r="NO66" s="13"/>
      <c r="NP66" s="13"/>
      <c r="NQ66" s="13"/>
      <c r="NR66" s="13"/>
      <c r="NS66" s="13"/>
      <c r="NT66" s="13"/>
      <c r="NU66" s="13"/>
      <c r="NV66" s="13"/>
      <c r="NW66" s="13"/>
      <c r="NX66" s="13"/>
      <c r="NY66" s="13"/>
      <c r="NZ66" s="13"/>
      <c r="OA66" s="13"/>
      <c r="OB66" s="13"/>
      <c r="OC66" s="13"/>
      <c r="OD66" s="13"/>
      <c r="OE66" s="13"/>
      <c r="OF66" s="13"/>
      <c r="OG66" s="13"/>
      <c r="OH66" s="13"/>
      <c r="OI66" s="13"/>
      <c r="OJ66" s="13"/>
      <c r="OK66" s="13"/>
      <c r="OL66" s="13"/>
      <c r="OM66" s="13"/>
      <c r="ON66" s="13"/>
      <c r="OO66" s="13"/>
      <c r="OP66" s="13"/>
      <c r="OQ66" s="13"/>
      <c r="OR66" s="13"/>
      <c r="OS66" s="13"/>
      <c r="OT66" s="13"/>
      <c r="OU66" s="13"/>
      <c r="OV66" s="13"/>
      <c r="OW66" s="13"/>
      <c r="OX66" s="13"/>
      <c r="OY66" s="13"/>
      <c r="OZ66" s="13"/>
      <c r="PA66" s="13"/>
      <c r="PB66" s="13"/>
      <c r="PC66" s="13"/>
      <c r="PD66" s="13"/>
      <c r="PE66" s="13"/>
      <c r="PF66" s="13"/>
      <c r="PG66" s="13"/>
      <c r="PH66" s="13"/>
      <c r="PI66" s="13"/>
      <c r="PJ66" s="13"/>
      <c r="PK66" s="13"/>
      <c r="PL66" s="13"/>
      <c r="PM66" s="13"/>
      <c r="PN66" s="13"/>
      <c r="PO66" s="13"/>
      <c r="PP66" s="13"/>
      <c r="PQ66" s="13"/>
      <c r="PR66" s="13"/>
      <c r="PS66" s="13"/>
      <c r="PT66" s="13"/>
      <c r="PU66" s="13"/>
      <c r="PV66" s="13"/>
      <c r="PW66" s="13"/>
    </row>
    <row r="67" spans="1:439" s="14" customFormat="1" x14ac:dyDescent="0.2">
      <c r="A67" s="88" t="s">
        <v>358</v>
      </c>
      <c r="B67" s="141" t="s">
        <v>409</v>
      </c>
      <c r="C67" s="15" t="s">
        <v>412</v>
      </c>
      <c r="D67" s="142" t="s">
        <v>324</v>
      </c>
      <c r="E67" s="102">
        <f>16*5</f>
        <v>80</v>
      </c>
      <c r="F67" s="65"/>
      <c r="G67" s="65">
        <v>59</v>
      </c>
      <c r="H67" s="63">
        <f t="shared" si="23"/>
        <v>59</v>
      </c>
      <c r="I67" s="63">
        <f t="shared" si="24"/>
        <v>4720</v>
      </c>
      <c r="J67" s="12">
        <f t="shared" si="0"/>
        <v>0.25</v>
      </c>
      <c r="K67" s="63">
        <f t="shared" si="25"/>
        <v>5900</v>
      </c>
      <c r="L67" s="19">
        <f t="shared" si="30"/>
        <v>9.8392141245117869E-3</v>
      </c>
      <c r="M67" s="80"/>
      <c r="N67" s="80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  <c r="IW67" s="13"/>
      <c r="IX67" s="13"/>
      <c r="IY67" s="13"/>
      <c r="IZ67" s="13"/>
      <c r="JA67" s="13"/>
      <c r="JB67" s="13"/>
      <c r="JC67" s="13"/>
      <c r="JD67" s="13"/>
      <c r="JE67" s="13"/>
      <c r="JF67" s="13"/>
      <c r="JG67" s="13"/>
      <c r="JH67" s="13"/>
      <c r="JI67" s="13"/>
      <c r="JJ67" s="13"/>
      <c r="JK67" s="13"/>
      <c r="JL67" s="13"/>
      <c r="JM67" s="13"/>
      <c r="JN67" s="13"/>
      <c r="JO67" s="13"/>
      <c r="JP67" s="13"/>
      <c r="JQ67" s="13"/>
      <c r="JR67" s="13"/>
      <c r="JS67" s="13"/>
      <c r="JT67" s="13"/>
      <c r="JU67" s="13"/>
      <c r="JV67" s="13"/>
      <c r="JW67" s="13"/>
      <c r="JX67" s="13"/>
      <c r="JY67" s="13"/>
      <c r="JZ67" s="13"/>
      <c r="KA67" s="13"/>
      <c r="KB67" s="13"/>
      <c r="KC67" s="13"/>
      <c r="KD67" s="13"/>
      <c r="KE67" s="13"/>
      <c r="KF67" s="13"/>
      <c r="KG67" s="13"/>
      <c r="KH67" s="13"/>
      <c r="KI67" s="13"/>
      <c r="KJ67" s="13"/>
      <c r="KK67" s="13"/>
      <c r="KL67" s="13"/>
      <c r="KM67" s="13"/>
      <c r="KN67" s="13"/>
      <c r="KO67" s="13"/>
      <c r="KP67" s="13"/>
      <c r="KQ67" s="13"/>
      <c r="KR67" s="13"/>
      <c r="KS67" s="13"/>
      <c r="KT67" s="13"/>
      <c r="KU67" s="13"/>
      <c r="KV67" s="13"/>
      <c r="KW67" s="13"/>
      <c r="KX67" s="13"/>
      <c r="KY67" s="13"/>
      <c r="KZ67" s="13"/>
      <c r="LA67" s="13"/>
      <c r="LB67" s="13"/>
      <c r="LC67" s="13"/>
      <c r="LD67" s="13"/>
      <c r="LE67" s="13"/>
      <c r="LF67" s="13"/>
      <c r="LG67" s="13"/>
      <c r="LH67" s="13"/>
      <c r="LI67" s="13"/>
      <c r="LJ67" s="13"/>
      <c r="LK67" s="13"/>
      <c r="LL67" s="13"/>
      <c r="LM67" s="13"/>
      <c r="LN67" s="13"/>
      <c r="LO67" s="13"/>
      <c r="LP67" s="13"/>
      <c r="LQ67" s="13"/>
      <c r="LR67" s="13"/>
      <c r="LS67" s="13"/>
      <c r="LT67" s="13"/>
      <c r="LU67" s="13"/>
      <c r="LV67" s="13"/>
      <c r="LW67" s="13"/>
      <c r="LX67" s="13"/>
      <c r="LY67" s="13"/>
      <c r="LZ67" s="13"/>
      <c r="MA67" s="13"/>
      <c r="MB67" s="13"/>
      <c r="MC67" s="13"/>
      <c r="MD67" s="13"/>
      <c r="ME67" s="13"/>
      <c r="MF67" s="13"/>
      <c r="MG67" s="13"/>
      <c r="MH67" s="13"/>
      <c r="MI67" s="13"/>
      <c r="MJ67" s="13"/>
      <c r="MK67" s="13"/>
      <c r="ML67" s="13"/>
      <c r="MM67" s="13"/>
      <c r="MN67" s="13"/>
      <c r="MO67" s="13"/>
      <c r="MP67" s="13"/>
      <c r="MQ67" s="13"/>
      <c r="MR67" s="13"/>
      <c r="MS67" s="13"/>
      <c r="MT67" s="13"/>
      <c r="MU67" s="13"/>
      <c r="MV67" s="13"/>
      <c r="MW67" s="13"/>
      <c r="MX67" s="13"/>
      <c r="MY67" s="13"/>
      <c r="MZ67" s="13"/>
      <c r="NA67" s="13"/>
      <c r="NB67" s="13"/>
      <c r="NC67" s="13"/>
      <c r="ND67" s="13"/>
      <c r="NE67" s="13"/>
      <c r="NF67" s="13"/>
      <c r="NG67" s="13"/>
      <c r="NH67" s="13"/>
      <c r="NI67" s="13"/>
      <c r="NJ67" s="13"/>
      <c r="NK67" s="13"/>
      <c r="NL67" s="13"/>
      <c r="NM67" s="13"/>
      <c r="NN67" s="13"/>
      <c r="NO67" s="13"/>
      <c r="NP67" s="13"/>
      <c r="NQ67" s="13"/>
      <c r="NR67" s="13"/>
      <c r="NS67" s="13"/>
      <c r="NT67" s="13"/>
      <c r="NU67" s="13"/>
      <c r="NV67" s="13"/>
      <c r="NW67" s="13"/>
      <c r="NX67" s="13"/>
      <c r="NY67" s="13"/>
      <c r="NZ67" s="13"/>
      <c r="OA67" s="13"/>
      <c r="OB67" s="13"/>
      <c r="OC67" s="13"/>
      <c r="OD67" s="13"/>
      <c r="OE67" s="13"/>
      <c r="OF67" s="13"/>
      <c r="OG67" s="13"/>
      <c r="OH67" s="13"/>
      <c r="OI67" s="13"/>
      <c r="OJ67" s="13"/>
      <c r="OK67" s="13"/>
      <c r="OL67" s="13"/>
      <c r="OM67" s="13"/>
      <c r="ON67" s="13"/>
      <c r="OO67" s="13"/>
      <c r="OP67" s="13"/>
      <c r="OQ67" s="13"/>
      <c r="OR67" s="13"/>
      <c r="OS67" s="13"/>
      <c r="OT67" s="13"/>
      <c r="OU67" s="13"/>
      <c r="OV67" s="13"/>
      <c r="OW67" s="13"/>
      <c r="OX67" s="13"/>
      <c r="OY67" s="13"/>
      <c r="OZ67" s="13"/>
      <c r="PA67" s="13"/>
      <c r="PB67" s="13"/>
      <c r="PC67" s="13"/>
      <c r="PD67" s="13"/>
      <c r="PE67" s="13"/>
      <c r="PF67" s="13"/>
      <c r="PG67" s="13"/>
      <c r="PH67" s="13"/>
      <c r="PI67" s="13"/>
      <c r="PJ67" s="13"/>
      <c r="PK67" s="13"/>
      <c r="PL67" s="13"/>
      <c r="PM67" s="13"/>
      <c r="PN67" s="13"/>
      <c r="PO67" s="13"/>
      <c r="PP67" s="13"/>
      <c r="PQ67" s="13"/>
      <c r="PR67" s="13"/>
      <c r="PS67" s="13"/>
      <c r="PT67" s="13"/>
      <c r="PU67" s="13"/>
      <c r="PV67" s="13"/>
      <c r="PW67" s="13"/>
    </row>
    <row r="68" spans="1:439" s="14" customFormat="1" x14ac:dyDescent="0.2">
      <c r="A68" s="88" t="s">
        <v>102</v>
      </c>
      <c r="B68" s="141" t="s">
        <v>404</v>
      </c>
      <c r="C68" s="15" t="s">
        <v>411</v>
      </c>
      <c r="D68" s="142" t="s">
        <v>324</v>
      </c>
      <c r="E68" s="102">
        <v>13</v>
      </c>
      <c r="F68" s="65"/>
      <c r="G68" s="65">
        <v>59</v>
      </c>
      <c r="H68" s="63">
        <f t="shared" ref="H68" si="40">F68+G68</f>
        <v>59</v>
      </c>
      <c r="I68" s="63">
        <f t="shared" ref="I68" si="41">E68*H68</f>
        <v>767</v>
      </c>
      <c r="J68" s="12">
        <f t="shared" si="0"/>
        <v>0.25</v>
      </c>
      <c r="K68" s="63">
        <f t="shared" ref="K68" si="42">I68*(1+J68)</f>
        <v>958.75</v>
      </c>
      <c r="L68" s="19">
        <f t="shared" si="30"/>
        <v>1.5988722952331653E-3</v>
      </c>
      <c r="M68" s="80"/>
      <c r="N68" s="80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  <c r="IW68" s="13"/>
      <c r="IX68" s="13"/>
      <c r="IY68" s="13"/>
      <c r="IZ68" s="13"/>
      <c r="JA68" s="13"/>
      <c r="JB68" s="13"/>
      <c r="JC68" s="13"/>
      <c r="JD68" s="13"/>
      <c r="JE68" s="13"/>
      <c r="JF68" s="13"/>
      <c r="JG68" s="13"/>
      <c r="JH68" s="13"/>
      <c r="JI68" s="13"/>
      <c r="JJ68" s="13"/>
      <c r="JK68" s="13"/>
      <c r="JL68" s="13"/>
      <c r="JM68" s="13"/>
      <c r="JN68" s="13"/>
      <c r="JO68" s="13"/>
      <c r="JP68" s="13"/>
      <c r="JQ68" s="13"/>
      <c r="JR68" s="13"/>
      <c r="JS68" s="13"/>
      <c r="JT68" s="13"/>
      <c r="JU68" s="13"/>
      <c r="JV68" s="13"/>
      <c r="JW68" s="13"/>
      <c r="JX68" s="13"/>
      <c r="JY68" s="13"/>
      <c r="JZ68" s="13"/>
      <c r="KA68" s="13"/>
      <c r="KB68" s="13"/>
      <c r="KC68" s="13"/>
      <c r="KD68" s="13"/>
      <c r="KE68" s="13"/>
      <c r="KF68" s="13"/>
      <c r="KG68" s="13"/>
      <c r="KH68" s="13"/>
      <c r="KI68" s="13"/>
      <c r="KJ68" s="13"/>
      <c r="KK68" s="13"/>
      <c r="KL68" s="13"/>
      <c r="KM68" s="13"/>
      <c r="KN68" s="13"/>
      <c r="KO68" s="13"/>
      <c r="KP68" s="13"/>
      <c r="KQ68" s="13"/>
      <c r="KR68" s="13"/>
      <c r="KS68" s="13"/>
      <c r="KT68" s="13"/>
      <c r="KU68" s="13"/>
      <c r="KV68" s="13"/>
      <c r="KW68" s="13"/>
      <c r="KX68" s="13"/>
      <c r="KY68" s="13"/>
      <c r="KZ68" s="13"/>
      <c r="LA68" s="13"/>
      <c r="LB68" s="13"/>
      <c r="LC68" s="13"/>
      <c r="LD68" s="13"/>
      <c r="LE68" s="13"/>
      <c r="LF68" s="13"/>
      <c r="LG68" s="13"/>
      <c r="LH68" s="13"/>
      <c r="LI68" s="13"/>
      <c r="LJ68" s="13"/>
      <c r="LK68" s="13"/>
      <c r="LL68" s="13"/>
      <c r="LM68" s="13"/>
      <c r="LN68" s="13"/>
      <c r="LO68" s="13"/>
      <c r="LP68" s="13"/>
      <c r="LQ68" s="13"/>
      <c r="LR68" s="13"/>
      <c r="LS68" s="13"/>
      <c r="LT68" s="13"/>
      <c r="LU68" s="13"/>
      <c r="LV68" s="13"/>
      <c r="LW68" s="13"/>
      <c r="LX68" s="13"/>
      <c r="LY68" s="13"/>
      <c r="LZ68" s="13"/>
      <c r="MA68" s="13"/>
      <c r="MB68" s="13"/>
      <c r="MC68" s="13"/>
      <c r="MD68" s="13"/>
      <c r="ME68" s="13"/>
      <c r="MF68" s="13"/>
      <c r="MG68" s="13"/>
      <c r="MH68" s="13"/>
      <c r="MI68" s="13"/>
      <c r="MJ68" s="13"/>
      <c r="MK68" s="13"/>
      <c r="ML68" s="13"/>
      <c r="MM68" s="13"/>
      <c r="MN68" s="13"/>
      <c r="MO68" s="13"/>
      <c r="MP68" s="13"/>
      <c r="MQ68" s="13"/>
      <c r="MR68" s="13"/>
      <c r="MS68" s="13"/>
      <c r="MT68" s="13"/>
      <c r="MU68" s="13"/>
      <c r="MV68" s="13"/>
      <c r="MW68" s="13"/>
      <c r="MX68" s="13"/>
      <c r="MY68" s="13"/>
      <c r="MZ68" s="13"/>
      <c r="NA68" s="13"/>
      <c r="NB68" s="13"/>
      <c r="NC68" s="13"/>
      <c r="ND68" s="13"/>
      <c r="NE68" s="13"/>
      <c r="NF68" s="13"/>
      <c r="NG68" s="13"/>
      <c r="NH68" s="13"/>
      <c r="NI68" s="13"/>
      <c r="NJ68" s="13"/>
      <c r="NK68" s="13"/>
      <c r="NL68" s="13"/>
      <c r="NM68" s="13"/>
      <c r="NN68" s="13"/>
      <c r="NO68" s="13"/>
      <c r="NP68" s="13"/>
      <c r="NQ68" s="13"/>
      <c r="NR68" s="13"/>
      <c r="NS68" s="13"/>
      <c r="NT68" s="13"/>
      <c r="NU68" s="13"/>
      <c r="NV68" s="13"/>
      <c r="NW68" s="13"/>
      <c r="NX68" s="13"/>
      <c r="NY68" s="13"/>
      <c r="NZ68" s="13"/>
      <c r="OA68" s="13"/>
      <c r="OB68" s="13"/>
      <c r="OC68" s="13"/>
      <c r="OD68" s="13"/>
      <c r="OE68" s="13"/>
      <c r="OF68" s="13"/>
      <c r="OG68" s="13"/>
      <c r="OH68" s="13"/>
      <c r="OI68" s="13"/>
      <c r="OJ68" s="13"/>
      <c r="OK68" s="13"/>
      <c r="OL68" s="13"/>
      <c r="OM68" s="13"/>
      <c r="ON68" s="13"/>
      <c r="OO68" s="13"/>
      <c r="OP68" s="13"/>
      <c r="OQ68" s="13"/>
      <c r="OR68" s="13"/>
      <c r="OS68" s="13"/>
      <c r="OT68" s="13"/>
      <c r="OU68" s="13"/>
      <c r="OV68" s="13"/>
      <c r="OW68" s="13"/>
      <c r="OX68" s="13"/>
      <c r="OY68" s="13"/>
      <c r="OZ68" s="13"/>
      <c r="PA68" s="13"/>
      <c r="PB68" s="13"/>
      <c r="PC68" s="13"/>
      <c r="PD68" s="13"/>
      <c r="PE68" s="13"/>
      <c r="PF68" s="13"/>
      <c r="PG68" s="13"/>
      <c r="PH68" s="13"/>
      <c r="PI68" s="13"/>
      <c r="PJ68" s="13"/>
      <c r="PK68" s="13"/>
      <c r="PL68" s="13"/>
      <c r="PM68" s="13"/>
      <c r="PN68" s="13"/>
      <c r="PO68" s="13"/>
      <c r="PP68" s="13"/>
      <c r="PQ68" s="13"/>
      <c r="PR68" s="13"/>
      <c r="PS68" s="13"/>
      <c r="PT68" s="13"/>
      <c r="PU68" s="13"/>
      <c r="PV68" s="13"/>
      <c r="PW68" s="13"/>
    </row>
    <row r="69" spans="1:439" s="14" customFormat="1" x14ac:dyDescent="0.2">
      <c r="A69" s="88" t="s">
        <v>102</v>
      </c>
      <c r="B69" s="141" t="s">
        <v>436</v>
      </c>
      <c r="C69" s="93" t="s">
        <v>406</v>
      </c>
      <c r="D69" s="143" t="s">
        <v>324</v>
      </c>
      <c r="E69" s="110">
        <f>50*0.8</f>
        <v>40</v>
      </c>
      <c r="F69" s="65"/>
      <c r="G69" s="65">
        <v>59</v>
      </c>
      <c r="H69" s="63">
        <f t="shared" si="23"/>
        <v>59</v>
      </c>
      <c r="I69" s="63">
        <f t="shared" si="24"/>
        <v>2360</v>
      </c>
      <c r="J69" s="12">
        <f t="shared" si="0"/>
        <v>0.25</v>
      </c>
      <c r="K69" s="63">
        <f t="shared" si="25"/>
        <v>2950</v>
      </c>
      <c r="L69" s="19">
        <f t="shared" si="30"/>
        <v>4.9196070622558935E-3</v>
      </c>
      <c r="M69" s="80"/>
      <c r="N69" s="80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13"/>
      <c r="JB69" s="13"/>
      <c r="JC69" s="13"/>
      <c r="JD69" s="13"/>
      <c r="JE69" s="13"/>
      <c r="JF69" s="13"/>
      <c r="JG69" s="13"/>
      <c r="JH69" s="13"/>
      <c r="JI69" s="13"/>
      <c r="JJ69" s="13"/>
      <c r="JK69" s="13"/>
      <c r="JL69" s="13"/>
      <c r="JM69" s="13"/>
      <c r="JN69" s="13"/>
      <c r="JO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  <c r="KP69" s="13"/>
      <c r="KQ69" s="13"/>
      <c r="KR69" s="13"/>
      <c r="KS69" s="13"/>
      <c r="KT69" s="13"/>
      <c r="KU69" s="13"/>
      <c r="KV69" s="13"/>
      <c r="KW69" s="13"/>
      <c r="KX69" s="13"/>
      <c r="KY69" s="13"/>
      <c r="KZ69" s="13"/>
      <c r="LA69" s="13"/>
      <c r="LB69" s="13"/>
      <c r="LC69" s="13"/>
      <c r="LD69" s="13"/>
      <c r="LE69" s="13"/>
      <c r="LF69" s="13"/>
      <c r="LG69" s="13"/>
      <c r="LH69" s="13"/>
      <c r="LI69" s="13"/>
      <c r="LJ69" s="13"/>
      <c r="LK69" s="13"/>
      <c r="LL69" s="13"/>
      <c r="LM69" s="13"/>
      <c r="LN69" s="13"/>
      <c r="LO69" s="13"/>
      <c r="LP69" s="13"/>
      <c r="LQ69" s="13"/>
      <c r="LR69" s="13"/>
      <c r="LS69" s="13"/>
      <c r="LT69" s="13"/>
      <c r="LU69" s="13"/>
      <c r="LV69" s="13"/>
      <c r="LW69" s="13"/>
      <c r="LX69" s="13"/>
      <c r="LY69" s="13"/>
      <c r="LZ69" s="13"/>
      <c r="MA69" s="13"/>
      <c r="MB69" s="13"/>
      <c r="MC69" s="13"/>
      <c r="MD69" s="13"/>
      <c r="ME69" s="13"/>
      <c r="MF69" s="13"/>
      <c r="MG69" s="13"/>
      <c r="MH69" s="13"/>
      <c r="MI69" s="13"/>
      <c r="MJ69" s="13"/>
      <c r="MK69" s="13"/>
      <c r="ML69" s="13"/>
      <c r="MM69" s="13"/>
      <c r="MN69" s="13"/>
      <c r="MO69" s="13"/>
      <c r="MP69" s="13"/>
      <c r="MQ69" s="13"/>
      <c r="MR69" s="13"/>
      <c r="MS69" s="13"/>
      <c r="MT69" s="13"/>
      <c r="MU69" s="13"/>
      <c r="MV69" s="13"/>
      <c r="MW69" s="13"/>
      <c r="MX69" s="13"/>
      <c r="MY69" s="13"/>
      <c r="MZ69" s="13"/>
      <c r="NA69" s="13"/>
      <c r="NB69" s="13"/>
      <c r="NC69" s="13"/>
      <c r="ND69" s="13"/>
      <c r="NE69" s="13"/>
      <c r="NF69" s="13"/>
      <c r="NG69" s="13"/>
      <c r="NH69" s="13"/>
      <c r="NI69" s="13"/>
      <c r="NJ69" s="13"/>
      <c r="NK69" s="13"/>
      <c r="NL69" s="13"/>
      <c r="NM69" s="13"/>
      <c r="NN69" s="13"/>
      <c r="NO69" s="13"/>
      <c r="NP69" s="13"/>
      <c r="NQ69" s="13"/>
      <c r="NR69" s="13"/>
      <c r="NS69" s="13"/>
      <c r="NT69" s="13"/>
      <c r="NU69" s="13"/>
      <c r="NV69" s="13"/>
      <c r="NW69" s="13"/>
      <c r="NX69" s="13"/>
      <c r="NY69" s="13"/>
      <c r="NZ69" s="13"/>
      <c r="OA69" s="13"/>
      <c r="OB69" s="13"/>
      <c r="OC69" s="13"/>
      <c r="OD69" s="13"/>
      <c r="OE69" s="13"/>
      <c r="OF69" s="13"/>
      <c r="OG69" s="13"/>
      <c r="OH69" s="13"/>
      <c r="OI69" s="13"/>
      <c r="OJ69" s="13"/>
      <c r="OK69" s="13"/>
      <c r="OL69" s="13"/>
      <c r="OM69" s="13"/>
      <c r="ON69" s="13"/>
      <c r="OO69" s="13"/>
      <c r="OP69" s="13"/>
      <c r="OQ69" s="13"/>
      <c r="OR69" s="13"/>
      <c r="OS69" s="13"/>
      <c r="OT69" s="13"/>
      <c r="OU69" s="13"/>
      <c r="OV69" s="13"/>
      <c r="OW69" s="13"/>
      <c r="OX69" s="13"/>
      <c r="OY69" s="13"/>
      <c r="OZ69" s="13"/>
      <c r="PA69" s="13"/>
      <c r="PB69" s="13"/>
      <c r="PC69" s="13"/>
      <c r="PD69" s="13"/>
      <c r="PE69" s="13"/>
      <c r="PF69" s="13"/>
      <c r="PG69" s="13"/>
      <c r="PH69" s="13"/>
      <c r="PI69" s="13"/>
      <c r="PJ69" s="13"/>
      <c r="PK69" s="13"/>
      <c r="PL69" s="13"/>
      <c r="PM69" s="13"/>
      <c r="PN69" s="13"/>
      <c r="PO69" s="13"/>
      <c r="PP69" s="13"/>
      <c r="PQ69" s="13"/>
      <c r="PR69" s="13"/>
      <c r="PS69" s="13"/>
      <c r="PT69" s="13"/>
      <c r="PU69" s="13"/>
      <c r="PV69" s="13"/>
      <c r="PW69" s="13"/>
    </row>
    <row r="70" spans="1:439" s="14" customFormat="1" x14ac:dyDescent="0.2">
      <c r="A70" s="88" t="s">
        <v>103</v>
      </c>
      <c r="B70" s="141" t="s">
        <v>407</v>
      </c>
      <c r="C70" s="93" t="s">
        <v>408</v>
      </c>
      <c r="D70" s="143" t="s">
        <v>324</v>
      </c>
      <c r="E70" s="110">
        <f>0.12*55</f>
        <v>6.6</v>
      </c>
      <c r="F70" s="65"/>
      <c r="G70" s="65">
        <v>59</v>
      </c>
      <c r="H70" s="63">
        <f t="shared" si="23"/>
        <v>59</v>
      </c>
      <c r="I70" s="63">
        <f t="shared" si="24"/>
        <v>389.4</v>
      </c>
      <c r="J70" s="12">
        <f t="shared" si="0"/>
        <v>0.25</v>
      </c>
      <c r="K70" s="63">
        <f t="shared" si="25"/>
        <v>486.75</v>
      </c>
      <c r="L70" s="19">
        <f t="shared" si="30"/>
        <v>8.117351652722224E-4</v>
      </c>
      <c r="M70" s="80"/>
      <c r="N70" s="80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  <c r="IW70" s="13"/>
      <c r="IX70" s="13"/>
      <c r="IY70" s="13"/>
      <c r="IZ70" s="13"/>
      <c r="JA70" s="13"/>
      <c r="JB70" s="13"/>
      <c r="JC70" s="13"/>
      <c r="JD70" s="13"/>
      <c r="JE70" s="13"/>
      <c r="JF70" s="13"/>
      <c r="JG70" s="13"/>
      <c r="JH70" s="13"/>
      <c r="JI70" s="13"/>
      <c r="JJ70" s="13"/>
      <c r="JK70" s="13"/>
      <c r="JL70" s="13"/>
      <c r="JM70" s="13"/>
      <c r="JN70" s="13"/>
      <c r="JO70" s="13"/>
      <c r="JP70" s="13"/>
      <c r="JQ70" s="13"/>
      <c r="JR70" s="13"/>
      <c r="JS70" s="13"/>
      <c r="JT70" s="13"/>
      <c r="JU70" s="13"/>
      <c r="JV70" s="13"/>
      <c r="JW70" s="13"/>
      <c r="JX70" s="13"/>
      <c r="JY70" s="13"/>
      <c r="JZ70" s="13"/>
      <c r="KA70" s="13"/>
      <c r="KB70" s="13"/>
      <c r="KC70" s="13"/>
      <c r="KD70" s="13"/>
      <c r="KE70" s="13"/>
      <c r="KF70" s="13"/>
      <c r="KG70" s="13"/>
      <c r="KH70" s="13"/>
      <c r="KI70" s="13"/>
      <c r="KJ70" s="13"/>
      <c r="KK70" s="13"/>
      <c r="KL70" s="13"/>
      <c r="KM70" s="13"/>
      <c r="KN70" s="13"/>
      <c r="KO70" s="13"/>
      <c r="KP70" s="13"/>
      <c r="KQ70" s="13"/>
      <c r="KR70" s="13"/>
      <c r="KS70" s="13"/>
      <c r="KT70" s="13"/>
      <c r="KU70" s="13"/>
      <c r="KV70" s="13"/>
      <c r="KW70" s="13"/>
      <c r="KX70" s="13"/>
      <c r="KY70" s="13"/>
      <c r="KZ70" s="13"/>
      <c r="LA70" s="13"/>
      <c r="LB70" s="13"/>
      <c r="LC70" s="13"/>
      <c r="LD70" s="13"/>
      <c r="LE70" s="13"/>
      <c r="LF70" s="13"/>
      <c r="LG70" s="13"/>
      <c r="LH70" s="13"/>
      <c r="LI70" s="13"/>
      <c r="LJ70" s="13"/>
      <c r="LK70" s="13"/>
      <c r="LL70" s="13"/>
      <c r="LM70" s="13"/>
      <c r="LN70" s="13"/>
      <c r="LO70" s="13"/>
      <c r="LP70" s="13"/>
      <c r="LQ70" s="13"/>
      <c r="LR70" s="13"/>
      <c r="LS70" s="13"/>
      <c r="LT70" s="13"/>
      <c r="LU70" s="13"/>
      <c r="LV70" s="13"/>
      <c r="LW70" s="13"/>
      <c r="LX70" s="13"/>
      <c r="LY70" s="13"/>
      <c r="LZ70" s="13"/>
      <c r="MA70" s="13"/>
      <c r="MB70" s="13"/>
      <c r="MC70" s="13"/>
      <c r="MD70" s="13"/>
      <c r="ME70" s="13"/>
      <c r="MF70" s="13"/>
      <c r="MG70" s="13"/>
      <c r="MH70" s="13"/>
      <c r="MI70" s="13"/>
      <c r="MJ70" s="13"/>
      <c r="MK70" s="13"/>
      <c r="ML70" s="13"/>
      <c r="MM70" s="13"/>
      <c r="MN70" s="13"/>
      <c r="MO70" s="13"/>
      <c r="MP70" s="13"/>
      <c r="MQ70" s="13"/>
      <c r="MR70" s="13"/>
      <c r="MS70" s="13"/>
      <c r="MT70" s="13"/>
      <c r="MU70" s="13"/>
      <c r="MV70" s="13"/>
      <c r="MW70" s="13"/>
      <c r="MX70" s="13"/>
      <c r="MY70" s="13"/>
      <c r="MZ70" s="13"/>
      <c r="NA70" s="13"/>
      <c r="NB70" s="13"/>
      <c r="NC70" s="13"/>
      <c r="ND70" s="13"/>
      <c r="NE70" s="13"/>
      <c r="NF70" s="13"/>
      <c r="NG70" s="13"/>
      <c r="NH70" s="13"/>
      <c r="NI70" s="13"/>
      <c r="NJ70" s="13"/>
      <c r="NK70" s="13"/>
      <c r="NL70" s="13"/>
      <c r="NM70" s="13"/>
      <c r="NN70" s="13"/>
      <c r="NO70" s="13"/>
      <c r="NP70" s="13"/>
      <c r="NQ70" s="13"/>
      <c r="NR70" s="13"/>
      <c r="NS70" s="13"/>
      <c r="NT70" s="13"/>
      <c r="NU70" s="13"/>
      <c r="NV70" s="13"/>
      <c r="NW70" s="13"/>
      <c r="NX70" s="13"/>
      <c r="NY70" s="13"/>
      <c r="NZ70" s="13"/>
      <c r="OA70" s="13"/>
      <c r="OB70" s="13"/>
      <c r="OC70" s="13"/>
      <c r="OD70" s="13"/>
      <c r="OE70" s="13"/>
      <c r="OF70" s="13"/>
      <c r="OG70" s="13"/>
      <c r="OH70" s="13"/>
      <c r="OI70" s="13"/>
      <c r="OJ70" s="13"/>
      <c r="OK70" s="13"/>
      <c r="OL70" s="13"/>
      <c r="OM70" s="13"/>
      <c r="ON70" s="13"/>
      <c r="OO70" s="13"/>
      <c r="OP70" s="13"/>
      <c r="OQ70" s="13"/>
      <c r="OR70" s="13"/>
      <c r="OS70" s="13"/>
      <c r="OT70" s="13"/>
      <c r="OU70" s="13"/>
      <c r="OV70" s="13"/>
      <c r="OW70" s="13"/>
      <c r="OX70" s="13"/>
      <c r="OY70" s="13"/>
      <c r="OZ70" s="13"/>
      <c r="PA70" s="13"/>
      <c r="PB70" s="13"/>
      <c r="PC70" s="13"/>
      <c r="PD70" s="13"/>
      <c r="PE70" s="13"/>
      <c r="PF70" s="13"/>
      <c r="PG70" s="13"/>
      <c r="PH70" s="13"/>
      <c r="PI70" s="13"/>
      <c r="PJ70" s="13"/>
      <c r="PK70" s="13"/>
      <c r="PL70" s="13"/>
      <c r="PM70" s="13"/>
      <c r="PN70" s="13"/>
      <c r="PO70" s="13"/>
      <c r="PP70" s="13"/>
      <c r="PQ70" s="13"/>
      <c r="PR70" s="13"/>
      <c r="PS70" s="13"/>
      <c r="PT70" s="13"/>
      <c r="PU70" s="13"/>
      <c r="PV70" s="13"/>
      <c r="PW70" s="13"/>
    </row>
    <row r="71" spans="1:439" s="14" customFormat="1" ht="63.75" x14ac:dyDescent="0.2">
      <c r="A71" s="88" t="s">
        <v>104</v>
      </c>
      <c r="B71" s="144" t="s">
        <v>341</v>
      </c>
      <c r="C71" s="93" t="s">
        <v>470</v>
      </c>
      <c r="D71" s="143" t="s">
        <v>1</v>
      </c>
      <c r="E71" s="110">
        <v>73</v>
      </c>
      <c r="F71" s="145">
        <v>816</v>
      </c>
      <c r="G71" s="145">
        <f>4.5*59</f>
        <v>265.5</v>
      </c>
      <c r="H71" s="146">
        <f t="shared" ref="H71" si="43">F71+G71</f>
        <v>1081.5</v>
      </c>
      <c r="I71" s="146">
        <f t="shared" ref="I71" si="44">E71*H71</f>
        <v>78949.5</v>
      </c>
      <c r="J71" s="147">
        <f t="shared" si="0"/>
        <v>0.25</v>
      </c>
      <c r="K71" s="146">
        <f t="shared" ref="K71" si="45">I71*(1+J71)</f>
        <v>98686.875</v>
      </c>
      <c r="L71" s="148">
        <f t="shared" si="30"/>
        <v>0.16457649057693713</v>
      </c>
      <c r="M71" s="80"/>
      <c r="N71" s="80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  <c r="IW71" s="13"/>
      <c r="IX71" s="13"/>
      <c r="IY71" s="13"/>
      <c r="IZ71" s="13"/>
      <c r="JA71" s="13"/>
      <c r="JB71" s="13"/>
      <c r="JC71" s="13"/>
      <c r="JD71" s="13"/>
      <c r="JE71" s="13"/>
      <c r="JF71" s="13"/>
      <c r="JG71" s="13"/>
      <c r="JH71" s="13"/>
      <c r="JI71" s="13"/>
      <c r="JJ71" s="13"/>
      <c r="JK71" s="13"/>
      <c r="JL71" s="13"/>
      <c r="JM71" s="13"/>
      <c r="JN71" s="13"/>
      <c r="JO71" s="13"/>
      <c r="JP71" s="13"/>
      <c r="JQ71" s="13"/>
      <c r="JR71" s="13"/>
      <c r="JS71" s="13"/>
      <c r="JT71" s="13"/>
      <c r="JU71" s="13"/>
      <c r="JV71" s="13"/>
      <c r="JW71" s="13"/>
      <c r="JX71" s="13"/>
      <c r="JY71" s="13"/>
      <c r="JZ71" s="13"/>
      <c r="KA71" s="13"/>
      <c r="KB71" s="13"/>
      <c r="KC71" s="13"/>
      <c r="KD71" s="13"/>
      <c r="KE71" s="13"/>
      <c r="KF71" s="13"/>
      <c r="KG71" s="13"/>
      <c r="KH71" s="13"/>
      <c r="KI71" s="13"/>
      <c r="KJ71" s="13"/>
      <c r="KK71" s="13"/>
      <c r="KL71" s="13"/>
      <c r="KM71" s="13"/>
      <c r="KN71" s="13"/>
      <c r="KO71" s="13"/>
      <c r="KP71" s="13"/>
      <c r="KQ71" s="13"/>
      <c r="KR71" s="13"/>
      <c r="KS71" s="13"/>
      <c r="KT71" s="13"/>
      <c r="KU71" s="13"/>
      <c r="KV71" s="13"/>
      <c r="KW71" s="13"/>
      <c r="KX71" s="13"/>
      <c r="KY71" s="13"/>
      <c r="KZ71" s="13"/>
      <c r="LA71" s="13"/>
      <c r="LB71" s="13"/>
      <c r="LC71" s="13"/>
      <c r="LD71" s="13"/>
      <c r="LE71" s="13"/>
      <c r="LF71" s="13"/>
      <c r="LG71" s="13"/>
      <c r="LH71" s="13"/>
      <c r="LI71" s="13"/>
      <c r="LJ71" s="13"/>
      <c r="LK71" s="13"/>
      <c r="LL71" s="13"/>
      <c r="LM71" s="13"/>
      <c r="LN71" s="13"/>
      <c r="LO71" s="13"/>
      <c r="LP71" s="13"/>
      <c r="LQ71" s="13"/>
      <c r="LR71" s="13"/>
      <c r="LS71" s="13"/>
      <c r="LT71" s="13"/>
      <c r="LU71" s="13"/>
      <c r="LV71" s="13"/>
      <c r="LW71" s="13"/>
      <c r="LX71" s="13"/>
      <c r="LY71" s="13"/>
      <c r="LZ71" s="13"/>
      <c r="MA71" s="13"/>
      <c r="MB71" s="13"/>
      <c r="MC71" s="13"/>
      <c r="MD71" s="13"/>
      <c r="ME71" s="13"/>
      <c r="MF71" s="13"/>
      <c r="MG71" s="13"/>
      <c r="MH71" s="13"/>
      <c r="MI71" s="13"/>
      <c r="MJ71" s="13"/>
      <c r="MK71" s="13"/>
      <c r="ML71" s="13"/>
      <c r="MM71" s="13"/>
      <c r="MN71" s="13"/>
      <c r="MO71" s="13"/>
      <c r="MP71" s="13"/>
      <c r="MQ71" s="13"/>
      <c r="MR71" s="13"/>
      <c r="MS71" s="13"/>
      <c r="MT71" s="13"/>
      <c r="MU71" s="13"/>
      <c r="MV71" s="13"/>
      <c r="MW71" s="13"/>
      <c r="MX71" s="13"/>
      <c r="MY71" s="13"/>
      <c r="MZ71" s="13"/>
      <c r="NA71" s="13"/>
      <c r="NB71" s="13"/>
      <c r="NC71" s="13"/>
      <c r="ND71" s="13"/>
      <c r="NE71" s="13"/>
      <c r="NF71" s="13"/>
      <c r="NG71" s="13"/>
      <c r="NH71" s="13"/>
      <c r="NI71" s="13"/>
      <c r="NJ71" s="13"/>
      <c r="NK71" s="13"/>
      <c r="NL71" s="13"/>
      <c r="NM71" s="13"/>
      <c r="NN71" s="13"/>
      <c r="NO71" s="13"/>
      <c r="NP71" s="13"/>
      <c r="NQ71" s="13"/>
      <c r="NR71" s="13"/>
      <c r="NS71" s="13"/>
      <c r="NT71" s="13"/>
      <c r="NU71" s="13"/>
      <c r="NV71" s="13"/>
      <c r="NW71" s="13"/>
      <c r="NX71" s="13"/>
      <c r="NY71" s="13"/>
      <c r="NZ71" s="13"/>
      <c r="OA71" s="13"/>
      <c r="OB71" s="13"/>
      <c r="OC71" s="13"/>
      <c r="OD71" s="13"/>
      <c r="OE71" s="13"/>
      <c r="OF71" s="13"/>
      <c r="OG71" s="13"/>
      <c r="OH71" s="13"/>
      <c r="OI71" s="13"/>
      <c r="OJ71" s="13"/>
      <c r="OK71" s="13"/>
      <c r="OL71" s="13"/>
      <c r="OM71" s="13"/>
      <c r="ON71" s="13"/>
      <c r="OO71" s="13"/>
      <c r="OP71" s="13"/>
      <c r="OQ71" s="13"/>
      <c r="OR71" s="13"/>
      <c r="OS71" s="13"/>
      <c r="OT71" s="13"/>
      <c r="OU71" s="13"/>
      <c r="OV71" s="13"/>
      <c r="OW71" s="13"/>
      <c r="OX71" s="13"/>
      <c r="OY71" s="13"/>
      <c r="OZ71" s="13"/>
      <c r="PA71" s="13"/>
      <c r="PB71" s="13"/>
      <c r="PC71" s="13"/>
      <c r="PD71" s="13"/>
      <c r="PE71" s="13"/>
      <c r="PF71" s="13"/>
      <c r="PG71" s="13"/>
      <c r="PH71" s="13"/>
      <c r="PI71" s="13"/>
      <c r="PJ71" s="13"/>
      <c r="PK71" s="13"/>
      <c r="PL71" s="13"/>
      <c r="PM71" s="13"/>
      <c r="PN71" s="13"/>
      <c r="PO71" s="13"/>
      <c r="PP71" s="13"/>
      <c r="PQ71" s="13"/>
      <c r="PR71" s="13"/>
      <c r="PS71" s="13"/>
      <c r="PT71" s="13"/>
      <c r="PU71" s="13"/>
      <c r="PV71" s="13"/>
      <c r="PW71" s="13"/>
    </row>
    <row r="72" spans="1:439" s="14" customFormat="1" ht="63.75" x14ac:dyDescent="0.2">
      <c r="A72" s="88" t="s">
        <v>104</v>
      </c>
      <c r="B72" s="15" t="s">
        <v>341</v>
      </c>
      <c r="C72" s="93" t="s">
        <v>471</v>
      </c>
      <c r="D72" s="109" t="s">
        <v>1</v>
      </c>
      <c r="E72" s="110">
        <v>108</v>
      </c>
      <c r="F72" s="145">
        <v>828</v>
      </c>
      <c r="G72" s="145">
        <f>4.5*59</f>
        <v>265.5</v>
      </c>
      <c r="H72" s="146">
        <f t="shared" si="23"/>
        <v>1093.5</v>
      </c>
      <c r="I72" s="146">
        <f t="shared" si="24"/>
        <v>118098</v>
      </c>
      <c r="J72" s="147">
        <f t="shared" si="0"/>
        <v>0.25</v>
      </c>
      <c r="K72" s="146">
        <f t="shared" si="25"/>
        <v>147622.5</v>
      </c>
      <c r="L72" s="148">
        <f t="shared" si="30"/>
        <v>0.2461846418806341</v>
      </c>
      <c r="M72" s="80"/>
      <c r="N72" s="80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  <c r="IW72" s="13"/>
      <c r="IX72" s="13"/>
      <c r="IY72" s="13"/>
      <c r="IZ72" s="13"/>
      <c r="JA72" s="13"/>
      <c r="JB72" s="13"/>
      <c r="JC72" s="13"/>
      <c r="JD72" s="13"/>
      <c r="JE72" s="13"/>
      <c r="JF72" s="13"/>
      <c r="JG72" s="13"/>
      <c r="JH72" s="13"/>
      <c r="JI72" s="13"/>
      <c r="JJ72" s="13"/>
      <c r="JK72" s="13"/>
      <c r="JL72" s="13"/>
      <c r="JM72" s="13"/>
      <c r="JN72" s="13"/>
      <c r="JO72" s="13"/>
      <c r="JP72" s="13"/>
      <c r="JQ72" s="13"/>
      <c r="JR72" s="13"/>
      <c r="JS72" s="13"/>
      <c r="JT72" s="13"/>
      <c r="JU72" s="13"/>
      <c r="JV72" s="13"/>
      <c r="JW72" s="13"/>
      <c r="JX72" s="13"/>
      <c r="JY72" s="13"/>
      <c r="JZ72" s="13"/>
      <c r="KA72" s="13"/>
      <c r="KB72" s="13"/>
      <c r="KC72" s="13"/>
      <c r="KD72" s="13"/>
      <c r="KE72" s="13"/>
      <c r="KF72" s="13"/>
      <c r="KG72" s="13"/>
      <c r="KH72" s="13"/>
      <c r="KI72" s="13"/>
      <c r="KJ72" s="13"/>
      <c r="KK72" s="13"/>
      <c r="KL72" s="13"/>
      <c r="KM72" s="13"/>
      <c r="KN72" s="13"/>
      <c r="KO72" s="13"/>
      <c r="KP72" s="13"/>
      <c r="KQ72" s="13"/>
      <c r="KR72" s="13"/>
      <c r="KS72" s="13"/>
      <c r="KT72" s="13"/>
      <c r="KU72" s="13"/>
      <c r="KV72" s="13"/>
      <c r="KW72" s="13"/>
      <c r="KX72" s="13"/>
      <c r="KY72" s="13"/>
      <c r="KZ72" s="13"/>
      <c r="LA72" s="13"/>
      <c r="LB72" s="13"/>
      <c r="LC72" s="13"/>
      <c r="LD72" s="13"/>
      <c r="LE72" s="13"/>
      <c r="LF72" s="13"/>
      <c r="LG72" s="13"/>
      <c r="LH72" s="13"/>
      <c r="LI72" s="13"/>
      <c r="LJ72" s="13"/>
      <c r="LK72" s="13"/>
      <c r="LL72" s="13"/>
      <c r="LM72" s="13"/>
      <c r="LN72" s="13"/>
      <c r="LO72" s="13"/>
      <c r="LP72" s="13"/>
      <c r="LQ72" s="13"/>
      <c r="LR72" s="13"/>
      <c r="LS72" s="13"/>
      <c r="LT72" s="13"/>
      <c r="LU72" s="13"/>
      <c r="LV72" s="13"/>
      <c r="LW72" s="13"/>
      <c r="LX72" s="13"/>
      <c r="LY72" s="13"/>
      <c r="LZ72" s="13"/>
      <c r="MA72" s="13"/>
      <c r="MB72" s="13"/>
      <c r="MC72" s="13"/>
      <c r="MD72" s="13"/>
      <c r="ME72" s="13"/>
      <c r="MF72" s="13"/>
      <c r="MG72" s="13"/>
      <c r="MH72" s="13"/>
      <c r="MI72" s="13"/>
      <c r="MJ72" s="13"/>
      <c r="MK72" s="13"/>
      <c r="ML72" s="13"/>
      <c r="MM72" s="13"/>
      <c r="MN72" s="13"/>
      <c r="MO72" s="13"/>
      <c r="MP72" s="13"/>
      <c r="MQ72" s="13"/>
      <c r="MR72" s="13"/>
      <c r="MS72" s="13"/>
      <c r="MT72" s="13"/>
      <c r="MU72" s="13"/>
      <c r="MV72" s="13"/>
      <c r="MW72" s="13"/>
      <c r="MX72" s="13"/>
      <c r="MY72" s="13"/>
      <c r="MZ72" s="13"/>
      <c r="NA72" s="13"/>
      <c r="NB72" s="13"/>
      <c r="NC72" s="13"/>
      <c r="ND72" s="13"/>
      <c r="NE72" s="13"/>
      <c r="NF72" s="13"/>
      <c r="NG72" s="13"/>
      <c r="NH72" s="13"/>
      <c r="NI72" s="13"/>
      <c r="NJ72" s="13"/>
      <c r="NK72" s="13"/>
      <c r="NL72" s="13"/>
      <c r="NM72" s="13"/>
      <c r="NN72" s="13"/>
      <c r="NO72" s="13"/>
      <c r="NP72" s="13"/>
      <c r="NQ72" s="13"/>
      <c r="NR72" s="13"/>
      <c r="NS72" s="13"/>
      <c r="NT72" s="13"/>
      <c r="NU72" s="13"/>
      <c r="NV72" s="13"/>
      <c r="NW72" s="13"/>
      <c r="NX72" s="13"/>
      <c r="NY72" s="13"/>
      <c r="NZ72" s="13"/>
      <c r="OA72" s="13"/>
      <c r="OB72" s="13"/>
      <c r="OC72" s="13"/>
      <c r="OD72" s="13"/>
      <c r="OE72" s="13"/>
      <c r="OF72" s="13"/>
      <c r="OG72" s="13"/>
      <c r="OH72" s="13"/>
      <c r="OI72" s="13"/>
      <c r="OJ72" s="13"/>
      <c r="OK72" s="13"/>
      <c r="OL72" s="13"/>
      <c r="OM72" s="13"/>
      <c r="ON72" s="13"/>
      <c r="OO72" s="13"/>
      <c r="OP72" s="13"/>
      <c r="OQ72" s="13"/>
      <c r="OR72" s="13"/>
      <c r="OS72" s="13"/>
      <c r="OT72" s="13"/>
      <c r="OU72" s="13"/>
      <c r="OV72" s="13"/>
      <c r="OW72" s="13"/>
      <c r="OX72" s="13"/>
      <c r="OY72" s="13"/>
      <c r="OZ72" s="13"/>
      <c r="PA72" s="13"/>
      <c r="PB72" s="13"/>
      <c r="PC72" s="13"/>
      <c r="PD72" s="13"/>
      <c r="PE72" s="13"/>
      <c r="PF72" s="13"/>
      <c r="PG72" s="13"/>
      <c r="PH72" s="13"/>
      <c r="PI72" s="13"/>
      <c r="PJ72" s="13"/>
      <c r="PK72" s="13"/>
      <c r="PL72" s="13"/>
      <c r="PM72" s="13"/>
      <c r="PN72" s="13"/>
      <c r="PO72" s="13"/>
      <c r="PP72" s="13"/>
      <c r="PQ72" s="13"/>
      <c r="PR72" s="13"/>
      <c r="PS72" s="13"/>
      <c r="PT72" s="13"/>
      <c r="PU72" s="13"/>
      <c r="PV72" s="13"/>
      <c r="PW72" s="13"/>
    </row>
    <row r="73" spans="1:439" s="14" customFormat="1" x14ac:dyDescent="0.2">
      <c r="A73" s="88" t="s">
        <v>105</v>
      </c>
      <c r="B73" s="10" t="s">
        <v>437</v>
      </c>
      <c r="C73" s="93" t="s">
        <v>389</v>
      </c>
      <c r="D73" s="109" t="s">
        <v>1</v>
      </c>
      <c r="E73" s="110">
        <v>12</v>
      </c>
      <c r="F73" s="65">
        <v>7.02</v>
      </c>
      <c r="G73" s="65"/>
      <c r="H73" s="63">
        <f t="shared" si="23"/>
        <v>7.02</v>
      </c>
      <c r="I73" s="63">
        <f t="shared" si="24"/>
        <v>84.24</v>
      </c>
      <c r="J73" s="12">
        <f t="shared" si="0"/>
        <v>0.25</v>
      </c>
      <c r="K73" s="63">
        <f t="shared" si="25"/>
        <v>105.3</v>
      </c>
      <c r="L73" s="19">
        <f t="shared" si="30"/>
        <v>1.7560495717137137E-4</v>
      </c>
      <c r="M73" s="80"/>
      <c r="N73" s="80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  <c r="IV73" s="13"/>
      <c r="IW73" s="13"/>
      <c r="IX73" s="13"/>
      <c r="IY73" s="13"/>
      <c r="IZ73" s="13"/>
      <c r="JA73" s="13"/>
      <c r="JB73" s="13"/>
      <c r="JC73" s="13"/>
      <c r="JD73" s="13"/>
      <c r="JE73" s="13"/>
      <c r="JF73" s="13"/>
      <c r="JG73" s="13"/>
      <c r="JH73" s="13"/>
      <c r="JI73" s="13"/>
      <c r="JJ73" s="13"/>
      <c r="JK73" s="13"/>
      <c r="JL73" s="13"/>
      <c r="JM73" s="13"/>
      <c r="JN73" s="13"/>
      <c r="JO73" s="13"/>
      <c r="JP73" s="13"/>
      <c r="JQ73" s="13"/>
      <c r="JR73" s="13"/>
      <c r="JS73" s="13"/>
      <c r="JT73" s="13"/>
      <c r="JU73" s="13"/>
      <c r="JV73" s="13"/>
      <c r="JW73" s="13"/>
      <c r="JX73" s="13"/>
      <c r="JY73" s="13"/>
      <c r="JZ73" s="13"/>
      <c r="KA73" s="13"/>
      <c r="KB73" s="13"/>
      <c r="KC73" s="13"/>
      <c r="KD73" s="13"/>
      <c r="KE73" s="13"/>
      <c r="KF73" s="13"/>
      <c r="KG73" s="13"/>
      <c r="KH73" s="13"/>
      <c r="KI73" s="13"/>
      <c r="KJ73" s="13"/>
      <c r="KK73" s="13"/>
      <c r="KL73" s="13"/>
      <c r="KM73" s="13"/>
      <c r="KN73" s="13"/>
      <c r="KO73" s="13"/>
      <c r="KP73" s="13"/>
      <c r="KQ73" s="13"/>
      <c r="KR73" s="13"/>
      <c r="KS73" s="13"/>
      <c r="KT73" s="13"/>
      <c r="KU73" s="13"/>
      <c r="KV73" s="13"/>
      <c r="KW73" s="13"/>
      <c r="KX73" s="13"/>
      <c r="KY73" s="13"/>
      <c r="KZ73" s="13"/>
      <c r="LA73" s="13"/>
      <c r="LB73" s="13"/>
      <c r="LC73" s="13"/>
      <c r="LD73" s="13"/>
      <c r="LE73" s="13"/>
      <c r="LF73" s="13"/>
      <c r="LG73" s="13"/>
      <c r="LH73" s="13"/>
      <c r="LI73" s="13"/>
      <c r="LJ73" s="13"/>
      <c r="LK73" s="13"/>
      <c r="LL73" s="13"/>
      <c r="LM73" s="13"/>
      <c r="LN73" s="13"/>
      <c r="LO73" s="13"/>
      <c r="LP73" s="13"/>
      <c r="LQ73" s="13"/>
      <c r="LR73" s="13"/>
      <c r="LS73" s="13"/>
      <c r="LT73" s="13"/>
      <c r="LU73" s="13"/>
      <c r="LV73" s="13"/>
      <c r="LW73" s="13"/>
      <c r="LX73" s="13"/>
      <c r="LY73" s="13"/>
      <c r="LZ73" s="13"/>
      <c r="MA73" s="13"/>
      <c r="MB73" s="13"/>
      <c r="MC73" s="13"/>
      <c r="MD73" s="13"/>
      <c r="ME73" s="13"/>
      <c r="MF73" s="13"/>
      <c r="MG73" s="13"/>
      <c r="MH73" s="13"/>
      <c r="MI73" s="13"/>
      <c r="MJ73" s="13"/>
      <c r="MK73" s="13"/>
      <c r="ML73" s="13"/>
      <c r="MM73" s="13"/>
      <c r="MN73" s="13"/>
      <c r="MO73" s="13"/>
      <c r="MP73" s="13"/>
      <c r="MQ73" s="13"/>
      <c r="MR73" s="13"/>
      <c r="MS73" s="13"/>
      <c r="MT73" s="13"/>
      <c r="MU73" s="13"/>
      <c r="MV73" s="13"/>
      <c r="MW73" s="13"/>
      <c r="MX73" s="13"/>
      <c r="MY73" s="13"/>
      <c r="MZ73" s="13"/>
      <c r="NA73" s="13"/>
      <c r="NB73" s="13"/>
      <c r="NC73" s="13"/>
      <c r="ND73" s="13"/>
      <c r="NE73" s="13"/>
      <c r="NF73" s="13"/>
      <c r="NG73" s="13"/>
      <c r="NH73" s="13"/>
      <c r="NI73" s="13"/>
      <c r="NJ73" s="13"/>
      <c r="NK73" s="13"/>
      <c r="NL73" s="13"/>
      <c r="NM73" s="13"/>
      <c r="NN73" s="13"/>
      <c r="NO73" s="13"/>
      <c r="NP73" s="13"/>
      <c r="NQ73" s="13"/>
      <c r="NR73" s="13"/>
      <c r="NS73" s="13"/>
      <c r="NT73" s="13"/>
      <c r="NU73" s="13"/>
      <c r="NV73" s="13"/>
      <c r="NW73" s="13"/>
      <c r="NX73" s="13"/>
      <c r="NY73" s="13"/>
      <c r="NZ73" s="13"/>
      <c r="OA73" s="13"/>
      <c r="OB73" s="13"/>
      <c r="OC73" s="13"/>
      <c r="OD73" s="13"/>
      <c r="OE73" s="13"/>
      <c r="OF73" s="13"/>
      <c r="OG73" s="13"/>
      <c r="OH73" s="13"/>
      <c r="OI73" s="13"/>
      <c r="OJ73" s="13"/>
      <c r="OK73" s="13"/>
      <c r="OL73" s="13"/>
      <c r="OM73" s="13"/>
      <c r="ON73" s="13"/>
      <c r="OO73" s="13"/>
      <c r="OP73" s="13"/>
      <c r="OQ73" s="13"/>
      <c r="OR73" s="13"/>
      <c r="OS73" s="13"/>
      <c r="OT73" s="13"/>
      <c r="OU73" s="13"/>
      <c r="OV73" s="13"/>
      <c r="OW73" s="13"/>
      <c r="OX73" s="13"/>
      <c r="OY73" s="13"/>
      <c r="OZ73" s="13"/>
      <c r="PA73" s="13"/>
      <c r="PB73" s="13"/>
      <c r="PC73" s="13"/>
      <c r="PD73" s="13"/>
      <c r="PE73" s="13"/>
      <c r="PF73" s="13"/>
      <c r="PG73" s="13"/>
      <c r="PH73" s="13"/>
      <c r="PI73" s="13"/>
      <c r="PJ73" s="13"/>
      <c r="PK73" s="13"/>
      <c r="PL73" s="13"/>
      <c r="PM73" s="13"/>
      <c r="PN73" s="13"/>
      <c r="PO73" s="13"/>
      <c r="PP73" s="13"/>
      <c r="PQ73" s="13"/>
      <c r="PR73" s="13"/>
      <c r="PS73" s="13"/>
      <c r="PT73" s="13"/>
      <c r="PU73" s="13"/>
      <c r="PV73" s="13"/>
      <c r="PW73" s="13"/>
    </row>
    <row r="74" spans="1:439" x14ac:dyDescent="0.2">
      <c r="A74" s="88" t="s">
        <v>132</v>
      </c>
      <c r="B74" s="127" t="s">
        <v>438</v>
      </c>
      <c r="C74" s="93" t="s">
        <v>390</v>
      </c>
      <c r="D74" s="109" t="s">
        <v>1</v>
      </c>
      <c r="E74" s="110">
        <v>20</v>
      </c>
      <c r="F74" s="65">
        <v>5.24</v>
      </c>
      <c r="G74" s="65"/>
      <c r="H74" s="63">
        <f>F74+G74</f>
        <v>5.24</v>
      </c>
      <c r="I74" s="63">
        <f>E74*H74</f>
        <v>104.80000000000001</v>
      </c>
      <c r="J74" s="12">
        <f t="shared" si="0"/>
        <v>0.25</v>
      </c>
      <c r="K74" s="63">
        <f>I74*(1+J74)</f>
        <v>131</v>
      </c>
      <c r="L74" s="19">
        <f t="shared" si="30"/>
        <v>2.1846390683238036E-4</v>
      </c>
      <c r="M74" s="137"/>
      <c r="N74" s="137"/>
    </row>
    <row r="75" spans="1:439" x14ac:dyDescent="0.2">
      <c r="A75" s="88" t="s">
        <v>132</v>
      </c>
      <c r="B75" s="127" t="s">
        <v>345</v>
      </c>
      <c r="C75" s="93" t="s">
        <v>58</v>
      </c>
      <c r="D75" s="109" t="s">
        <v>1</v>
      </c>
      <c r="E75" s="110">
        <v>6</v>
      </c>
      <c r="F75" s="65">
        <v>8</v>
      </c>
      <c r="G75" s="65">
        <f>0.5*59</f>
        <v>29.5</v>
      </c>
      <c r="H75" s="63">
        <f>F75+G75</f>
        <v>37.5</v>
      </c>
      <c r="I75" s="63">
        <f>E75*H75</f>
        <v>225</v>
      </c>
      <c r="J75" s="12">
        <f t="shared" si="0"/>
        <v>0.25</v>
      </c>
      <c r="K75" s="63">
        <f>I75*(1+J75)</f>
        <v>281.25</v>
      </c>
      <c r="L75" s="19">
        <f t="shared" si="30"/>
        <v>4.6903033432524408E-4</v>
      </c>
      <c r="M75" s="137"/>
      <c r="N75" s="137"/>
    </row>
    <row r="76" spans="1:439" x14ac:dyDescent="0.2">
      <c r="A76" s="88" t="s">
        <v>132</v>
      </c>
      <c r="B76" s="127" t="s">
        <v>32</v>
      </c>
      <c r="C76" s="97" t="s">
        <v>392</v>
      </c>
      <c r="D76" s="109" t="s">
        <v>1</v>
      </c>
      <c r="E76" s="110">
        <v>32</v>
      </c>
      <c r="F76" s="65">
        <v>2.9</v>
      </c>
      <c r="G76" s="65"/>
      <c r="H76" s="63">
        <f t="shared" si="23"/>
        <v>2.9</v>
      </c>
      <c r="I76" s="63">
        <f t="shared" si="24"/>
        <v>92.8</v>
      </c>
      <c r="J76" s="12">
        <f t="shared" si="0"/>
        <v>0.25</v>
      </c>
      <c r="K76" s="63">
        <f t="shared" si="25"/>
        <v>116</v>
      </c>
      <c r="L76" s="19">
        <f t="shared" si="30"/>
        <v>1.9344895566836734E-4</v>
      </c>
      <c r="M76" s="137"/>
      <c r="N76" s="137"/>
    </row>
    <row r="77" spans="1:439" s="14" customFormat="1" x14ac:dyDescent="0.2">
      <c r="A77" s="88" t="s">
        <v>106</v>
      </c>
      <c r="B77" s="10" t="s">
        <v>32</v>
      </c>
      <c r="C77" s="93" t="s">
        <v>342</v>
      </c>
      <c r="D77" s="109" t="s">
        <v>1</v>
      </c>
      <c r="E77" s="110">
        <v>26</v>
      </c>
      <c r="F77" s="65">
        <v>5</v>
      </c>
      <c r="G77" s="65"/>
      <c r="H77" s="63">
        <f t="shared" ref="H77" si="46">F77+G77</f>
        <v>5</v>
      </c>
      <c r="I77" s="63">
        <f t="shared" ref="I77" si="47">E77*H77</f>
        <v>130</v>
      </c>
      <c r="J77" s="12">
        <f t="shared" si="0"/>
        <v>0.25</v>
      </c>
      <c r="K77" s="63">
        <f t="shared" ref="K77" si="48">I77*(1+J77)</f>
        <v>162.5</v>
      </c>
      <c r="L77" s="19">
        <f t="shared" ref="L77:L108" si="49">K77/$K$118</f>
        <v>2.7099530427680769E-4</v>
      </c>
      <c r="M77" s="80"/>
      <c r="N77" s="80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  <c r="IV77" s="13"/>
      <c r="IW77" s="13"/>
      <c r="IX77" s="13"/>
      <c r="IY77" s="13"/>
      <c r="IZ77" s="13"/>
      <c r="JA77" s="13"/>
      <c r="JB77" s="13"/>
      <c r="JC77" s="13"/>
      <c r="JD77" s="13"/>
      <c r="JE77" s="13"/>
      <c r="JF77" s="13"/>
      <c r="JG77" s="13"/>
      <c r="JH77" s="13"/>
      <c r="JI77" s="13"/>
      <c r="JJ77" s="13"/>
      <c r="JK77" s="13"/>
      <c r="JL77" s="13"/>
      <c r="JM77" s="13"/>
      <c r="JN77" s="13"/>
      <c r="JO77" s="13"/>
      <c r="JP77" s="13"/>
      <c r="JQ77" s="13"/>
      <c r="JR77" s="13"/>
      <c r="JS77" s="13"/>
      <c r="JT77" s="13"/>
      <c r="JU77" s="13"/>
      <c r="JV77" s="13"/>
      <c r="JW77" s="13"/>
      <c r="JX77" s="13"/>
      <c r="JY77" s="13"/>
      <c r="JZ77" s="13"/>
      <c r="KA77" s="13"/>
      <c r="KB77" s="13"/>
      <c r="KC77" s="13"/>
      <c r="KD77" s="13"/>
      <c r="KE77" s="13"/>
      <c r="KF77" s="13"/>
      <c r="KG77" s="13"/>
      <c r="KH77" s="13"/>
      <c r="KI77" s="13"/>
      <c r="KJ77" s="13"/>
      <c r="KK77" s="13"/>
      <c r="KL77" s="13"/>
      <c r="KM77" s="13"/>
      <c r="KN77" s="13"/>
      <c r="KO77" s="13"/>
      <c r="KP77" s="13"/>
      <c r="KQ77" s="13"/>
      <c r="KR77" s="13"/>
      <c r="KS77" s="13"/>
      <c r="KT77" s="13"/>
      <c r="KU77" s="13"/>
      <c r="KV77" s="13"/>
      <c r="KW77" s="13"/>
      <c r="KX77" s="13"/>
      <c r="KY77" s="13"/>
      <c r="KZ77" s="13"/>
      <c r="LA77" s="13"/>
      <c r="LB77" s="13"/>
      <c r="LC77" s="13"/>
      <c r="LD77" s="13"/>
      <c r="LE77" s="13"/>
      <c r="LF77" s="13"/>
      <c r="LG77" s="13"/>
      <c r="LH77" s="13"/>
      <c r="LI77" s="13"/>
      <c r="LJ77" s="13"/>
      <c r="LK77" s="13"/>
      <c r="LL77" s="13"/>
      <c r="LM77" s="13"/>
      <c r="LN77" s="13"/>
      <c r="LO77" s="13"/>
      <c r="LP77" s="13"/>
      <c r="LQ77" s="13"/>
      <c r="LR77" s="13"/>
      <c r="LS77" s="13"/>
      <c r="LT77" s="13"/>
      <c r="LU77" s="13"/>
      <c r="LV77" s="13"/>
      <c r="LW77" s="13"/>
      <c r="LX77" s="13"/>
      <c r="LY77" s="13"/>
      <c r="LZ77" s="13"/>
      <c r="MA77" s="13"/>
      <c r="MB77" s="13"/>
      <c r="MC77" s="13"/>
      <c r="MD77" s="13"/>
      <c r="ME77" s="13"/>
      <c r="MF77" s="13"/>
      <c r="MG77" s="13"/>
      <c r="MH77" s="13"/>
      <c r="MI77" s="13"/>
      <c r="MJ77" s="13"/>
      <c r="MK77" s="13"/>
      <c r="ML77" s="13"/>
      <c r="MM77" s="13"/>
      <c r="MN77" s="13"/>
      <c r="MO77" s="13"/>
      <c r="MP77" s="13"/>
      <c r="MQ77" s="13"/>
      <c r="MR77" s="13"/>
      <c r="MS77" s="13"/>
      <c r="MT77" s="13"/>
      <c r="MU77" s="13"/>
      <c r="MV77" s="13"/>
      <c r="MW77" s="13"/>
      <c r="MX77" s="13"/>
      <c r="MY77" s="13"/>
      <c r="MZ77" s="13"/>
      <c r="NA77" s="13"/>
      <c r="NB77" s="13"/>
      <c r="NC77" s="13"/>
      <c r="ND77" s="13"/>
      <c r="NE77" s="13"/>
      <c r="NF77" s="13"/>
      <c r="NG77" s="13"/>
      <c r="NH77" s="13"/>
      <c r="NI77" s="13"/>
      <c r="NJ77" s="13"/>
      <c r="NK77" s="13"/>
      <c r="NL77" s="13"/>
      <c r="NM77" s="13"/>
      <c r="NN77" s="13"/>
      <c r="NO77" s="13"/>
      <c r="NP77" s="13"/>
      <c r="NQ77" s="13"/>
      <c r="NR77" s="13"/>
      <c r="NS77" s="13"/>
      <c r="NT77" s="13"/>
      <c r="NU77" s="13"/>
      <c r="NV77" s="13"/>
      <c r="NW77" s="13"/>
      <c r="NX77" s="13"/>
      <c r="NY77" s="13"/>
      <c r="NZ77" s="13"/>
      <c r="OA77" s="13"/>
      <c r="OB77" s="13"/>
      <c r="OC77" s="13"/>
      <c r="OD77" s="13"/>
      <c r="OE77" s="13"/>
      <c r="OF77" s="13"/>
      <c r="OG77" s="13"/>
      <c r="OH77" s="13"/>
      <c r="OI77" s="13"/>
      <c r="OJ77" s="13"/>
      <c r="OK77" s="13"/>
      <c r="OL77" s="13"/>
      <c r="OM77" s="13"/>
      <c r="ON77" s="13"/>
      <c r="OO77" s="13"/>
      <c r="OP77" s="13"/>
      <c r="OQ77" s="13"/>
      <c r="OR77" s="13"/>
      <c r="OS77" s="13"/>
      <c r="OT77" s="13"/>
      <c r="OU77" s="13"/>
      <c r="OV77" s="13"/>
      <c r="OW77" s="13"/>
      <c r="OX77" s="13"/>
      <c r="OY77" s="13"/>
      <c r="OZ77" s="13"/>
      <c r="PA77" s="13"/>
      <c r="PB77" s="13"/>
      <c r="PC77" s="13"/>
      <c r="PD77" s="13"/>
      <c r="PE77" s="13"/>
      <c r="PF77" s="13"/>
      <c r="PG77" s="13"/>
      <c r="PH77" s="13"/>
      <c r="PI77" s="13"/>
      <c r="PJ77" s="13"/>
      <c r="PK77" s="13"/>
      <c r="PL77" s="13"/>
      <c r="PM77" s="13"/>
      <c r="PN77" s="13"/>
      <c r="PO77" s="13"/>
      <c r="PP77" s="13"/>
      <c r="PQ77" s="13"/>
      <c r="PR77" s="13"/>
      <c r="PS77" s="13"/>
      <c r="PT77" s="13"/>
      <c r="PU77" s="13"/>
      <c r="PV77" s="13"/>
      <c r="PW77" s="13"/>
    </row>
    <row r="78" spans="1:439" s="14" customFormat="1" x14ac:dyDescent="0.2">
      <c r="A78" s="88" t="s">
        <v>106</v>
      </c>
      <c r="B78" s="127" t="s">
        <v>32</v>
      </c>
      <c r="C78" s="93" t="s">
        <v>343</v>
      </c>
      <c r="D78" s="109" t="s">
        <v>1</v>
      </c>
      <c r="E78" s="110">
        <f>12+20</f>
        <v>32</v>
      </c>
      <c r="F78" s="65">
        <v>5.7</v>
      </c>
      <c r="G78" s="65"/>
      <c r="H78" s="63">
        <f t="shared" ref="H78" si="50">F78+G78</f>
        <v>5.7</v>
      </c>
      <c r="I78" s="63">
        <f t="shared" ref="I78" si="51">E78*H78</f>
        <v>182.4</v>
      </c>
      <c r="J78" s="12">
        <f t="shared" si="0"/>
        <v>0.25</v>
      </c>
      <c r="K78" s="63">
        <f t="shared" ref="K78" si="52">I78*(1+J78)</f>
        <v>228</v>
      </c>
      <c r="L78" s="19">
        <f t="shared" si="49"/>
        <v>3.8022725769299787E-4</v>
      </c>
      <c r="M78" s="80"/>
      <c r="N78" s="80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  <c r="IV78" s="13"/>
      <c r="IW78" s="13"/>
      <c r="IX78" s="13"/>
      <c r="IY78" s="13"/>
      <c r="IZ78" s="13"/>
      <c r="JA78" s="13"/>
      <c r="JB78" s="13"/>
      <c r="JC78" s="13"/>
      <c r="JD78" s="13"/>
      <c r="JE78" s="13"/>
      <c r="JF78" s="13"/>
      <c r="JG78" s="13"/>
      <c r="JH78" s="13"/>
      <c r="JI78" s="13"/>
      <c r="JJ78" s="13"/>
      <c r="JK78" s="13"/>
      <c r="JL78" s="13"/>
      <c r="JM78" s="13"/>
      <c r="JN78" s="13"/>
      <c r="JO78" s="13"/>
      <c r="JP78" s="13"/>
      <c r="JQ78" s="13"/>
      <c r="JR78" s="13"/>
      <c r="JS78" s="13"/>
      <c r="JT78" s="13"/>
      <c r="JU78" s="13"/>
      <c r="JV78" s="13"/>
      <c r="JW78" s="13"/>
      <c r="JX78" s="13"/>
      <c r="JY78" s="13"/>
      <c r="JZ78" s="13"/>
      <c r="KA78" s="13"/>
      <c r="KB78" s="13"/>
      <c r="KC78" s="13"/>
      <c r="KD78" s="13"/>
      <c r="KE78" s="13"/>
      <c r="KF78" s="13"/>
      <c r="KG78" s="13"/>
      <c r="KH78" s="13"/>
      <c r="KI78" s="13"/>
      <c r="KJ78" s="13"/>
      <c r="KK78" s="13"/>
      <c r="KL78" s="13"/>
      <c r="KM78" s="13"/>
      <c r="KN78" s="13"/>
      <c r="KO78" s="13"/>
      <c r="KP78" s="13"/>
      <c r="KQ78" s="13"/>
      <c r="KR78" s="13"/>
      <c r="KS78" s="13"/>
      <c r="KT78" s="13"/>
      <c r="KU78" s="13"/>
      <c r="KV78" s="13"/>
      <c r="KW78" s="13"/>
      <c r="KX78" s="13"/>
      <c r="KY78" s="13"/>
      <c r="KZ78" s="13"/>
      <c r="LA78" s="13"/>
      <c r="LB78" s="13"/>
      <c r="LC78" s="13"/>
      <c r="LD78" s="13"/>
      <c r="LE78" s="13"/>
      <c r="LF78" s="13"/>
      <c r="LG78" s="13"/>
      <c r="LH78" s="13"/>
      <c r="LI78" s="13"/>
      <c r="LJ78" s="13"/>
      <c r="LK78" s="13"/>
      <c r="LL78" s="13"/>
      <c r="LM78" s="13"/>
      <c r="LN78" s="13"/>
      <c r="LO78" s="13"/>
      <c r="LP78" s="13"/>
      <c r="LQ78" s="13"/>
      <c r="LR78" s="13"/>
      <c r="LS78" s="13"/>
      <c r="LT78" s="13"/>
      <c r="LU78" s="13"/>
      <c r="LV78" s="13"/>
      <c r="LW78" s="13"/>
      <c r="LX78" s="13"/>
      <c r="LY78" s="13"/>
      <c r="LZ78" s="13"/>
      <c r="MA78" s="13"/>
      <c r="MB78" s="13"/>
      <c r="MC78" s="13"/>
      <c r="MD78" s="13"/>
      <c r="ME78" s="13"/>
      <c r="MF78" s="13"/>
      <c r="MG78" s="13"/>
      <c r="MH78" s="13"/>
      <c r="MI78" s="13"/>
      <c r="MJ78" s="13"/>
      <c r="MK78" s="13"/>
      <c r="ML78" s="13"/>
      <c r="MM78" s="13"/>
      <c r="MN78" s="13"/>
      <c r="MO78" s="13"/>
      <c r="MP78" s="13"/>
      <c r="MQ78" s="13"/>
      <c r="MR78" s="13"/>
      <c r="MS78" s="13"/>
      <c r="MT78" s="13"/>
      <c r="MU78" s="13"/>
      <c r="MV78" s="13"/>
      <c r="MW78" s="13"/>
      <c r="MX78" s="13"/>
      <c r="MY78" s="13"/>
      <c r="MZ78" s="13"/>
      <c r="NA78" s="13"/>
      <c r="NB78" s="13"/>
      <c r="NC78" s="13"/>
      <c r="ND78" s="13"/>
      <c r="NE78" s="13"/>
      <c r="NF78" s="13"/>
      <c r="NG78" s="13"/>
      <c r="NH78" s="13"/>
      <c r="NI78" s="13"/>
      <c r="NJ78" s="13"/>
      <c r="NK78" s="13"/>
      <c r="NL78" s="13"/>
      <c r="NM78" s="13"/>
      <c r="NN78" s="13"/>
      <c r="NO78" s="13"/>
      <c r="NP78" s="13"/>
      <c r="NQ78" s="13"/>
      <c r="NR78" s="13"/>
      <c r="NS78" s="13"/>
      <c r="NT78" s="13"/>
      <c r="NU78" s="13"/>
      <c r="NV78" s="13"/>
      <c r="NW78" s="13"/>
      <c r="NX78" s="13"/>
      <c r="NY78" s="13"/>
      <c r="NZ78" s="13"/>
      <c r="OA78" s="13"/>
      <c r="OB78" s="13"/>
      <c r="OC78" s="13"/>
      <c r="OD78" s="13"/>
      <c r="OE78" s="13"/>
      <c r="OF78" s="13"/>
      <c r="OG78" s="13"/>
      <c r="OH78" s="13"/>
      <c r="OI78" s="13"/>
      <c r="OJ78" s="13"/>
      <c r="OK78" s="13"/>
      <c r="OL78" s="13"/>
      <c r="OM78" s="13"/>
      <c r="ON78" s="13"/>
      <c r="OO78" s="13"/>
      <c r="OP78" s="13"/>
      <c r="OQ78" s="13"/>
      <c r="OR78" s="13"/>
      <c r="OS78" s="13"/>
      <c r="OT78" s="13"/>
      <c r="OU78" s="13"/>
      <c r="OV78" s="13"/>
      <c r="OW78" s="13"/>
      <c r="OX78" s="13"/>
      <c r="OY78" s="13"/>
      <c r="OZ78" s="13"/>
      <c r="PA78" s="13"/>
      <c r="PB78" s="13"/>
      <c r="PC78" s="13"/>
      <c r="PD78" s="13"/>
      <c r="PE78" s="13"/>
      <c r="PF78" s="13"/>
      <c r="PG78" s="13"/>
      <c r="PH78" s="13"/>
      <c r="PI78" s="13"/>
      <c r="PJ78" s="13"/>
      <c r="PK78" s="13"/>
      <c r="PL78" s="13"/>
      <c r="PM78" s="13"/>
      <c r="PN78" s="13"/>
      <c r="PO78" s="13"/>
      <c r="PP78" s="13"/>
      <c r="PQ78" s="13"/>
      <c r="PR78" s="13"/>
      <c r="PS78" s="13"/>
      <c r="PT78" s="13"/>
      <c r="PU78" s="13"/>
      <c r="PV78" s="13"/>
      <c r="PW78" s="13"/>
    </row>
    <row r="79" spans="1:439" s="14" customFormat="1" x14ac:dyDescent="0.2">
      <c r="A79" s="88" t="s">
        <v>106</v>
      </c>
      <c r="B79" s="10" t="s">
        <v>32</v>
      </c>
      <c r="C79" s="93" t="s">
        <v>344</v>
      </c>
      <c r="D79" s="109" t="s">
        <v>1</v>
      </c>
      <c r="E79" s="110">
        <v>10</v>
      </c>
      <c r="F79" s="65">
        <v>7.1</v>
      </c>
      <c r="G79" s="65"/>
      <c r="H79" s="63">
        <f t="shared" ref="H79" si="53">F79+G79</f>
        <v>7.1</v>
      </c>
      <c r="I79" s="63">
        <f t="shared" ref="I79" si="54">E79*H79</f>
        <v>71</v>
      </c>
      <c r="J79" s="12">
        <f t="shared" si="0"/>
        <v>0.25</v>
      </c>
      <c r="K79" s="63">
        <f t="shared" ref="K79" si="55">I79*(1+J79)</f>
        <v>88.75</v>
      </c>
      <c r="L79" s="19">
        <f t="shared" si="49"/>
        <v>1.4800512772041036E-4</v>
      </c>
      <c r="M79" s="80"/>
      <c r="N79" s="80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  <c r="IV79" s="13"/>
      <c r="IW79" s="13"/>
      <c r="IX79" s="13"/>
      <c r="IY79" s="13"/>
      <c r="IZ79" s="13"/>
      <c r="JA79" s="13"/>
      <c r="JB79" s="13"/>
      <c r="JC79" s="13"/>
      <c r="JD79" s="13"/>
      <c r="JE79" s="13"/>
      <c r="JF79" s="13"/>
      <c r="JG79" s="13"/>
      <c r="JH79" s="13"/>
      <c r="JI79" s="13"/>
      <c r="JJ79" s="13"/>
      <c r="JK79" s="13"/>
      <c r="JL79" s="13"/>
      <c r="JM79" s="13"/>
      <c r="JN79" s="13"/>
      <c r="JO79" s="13"/>
      <c r="JP79" s="13"/>
      <c r="JQ79" s="13"/>
      <c r="JR79" s="13"/>
      <c r="JS79" s="13"/>
      <c r="JT79" s="13"/>
      <c r="JU79" s="13"/>
      <c r="JV79" s="13"/>
      <c r="JW79" s="13"/>
      <c r="JX79" s="13"/>
      <c r="JY79" s="13"/>
      <c r="JZ79" s="13"/>
      <c r="KA79" s="13"/>
      <c r="KB79" s="13"/>
      <c r="KC79" s="13"/>
      <c r="KD79" s="13"/>
      <c r="KE79" s="13"/>
      <c r="KF79" s="13"/>
      <c r="KG79" s="13"/>
      <c r="KH79" s="13"/>
      <c r="KI79" s="13"/>
      <c r="KJ79" s="13"/>
      <c r="KK79" s="13"/>
      <c r="KL79" s="13"/>
      <c r="KM79" s="13"/>
      <c r="KN79" s="13"/>
      <c r="KO79" s="13"/>
      <c r="KP79" s="13"/>
      <c r="KQ79" s="13"/>
      <c r="KR79" s="13"/>
      <c r="KS79" s="13"/>
      <c r="KT79" s="13"/>
      <c r="KU79" s="13"/>
      <c r="KV79" s="13"/>
      <c r="KW79" s="13"/>
      <c r="KX79" s="13"/>
      <c r="KY79" s="13"/>
      <c r="KZ79" s="13"/>
      <c r="LA79" s="13"/>
      <c r="LB79" s="13"/>
      <c r="LC79" s="13"/>
      <c r="LD79" s="13"/>
      <c r="LE79" s="13"/>
      <c r="LF79" s="13"/>
      <c r="LG79" s="13"/>
      <c r="LH79" s="13"/>
      <c r="LI79" s="13"/>
      <c r="LJ79" s="13"/>
      <c r="LK79" s="13"/>
      <c r="LL79" s="13"/>
      <c r="LM79" s="13"/>
      <c r="LN79" s="13"/>
      <c r="LO79" s="13"/>
      <c r="LP79" s="13"/>
      <c r="LQ79" s="13"/>
      <c r="LR79" s="13"/>
      <c r="LS79" s="13"/>
      <c r="LT79" s="13"/>
      <c r="LU79" s="13"/>
      <c r="LV79" s="13"/>
      <c r="LW79" s="13"/>
      <c r="LX79" s="13"/>
      <c r="LY79" s="13"/>
      <c r="LZ79" s="13"/>
      <c r="MA79" s="13"/>
      <c r="MB79" s="13"/>
      <c r="MC79" s="13"/>
      <c r="MD79" s="13"/>
      <c r="ME79" s="13"/>
      <c r="MF79" s="13"/>
      <c r="MG79" s="13"/>
      <c r="MH79" s="13"/>
      <c r="MI79" s="13"/>
      <c r="MJ79" s="13"/>
      <c r="MK79" s="13"/>
      <c r="ML79" s="13"/>
      <c r="MM79" s="13"/>
      <c r="MN79" s="13"/>
      <c r="MO79" s="13"/>
      <c r="MP79" s="13"/>
      <c r="MQ79" s="13"/>
      <c r="MR79" s="13"/>
      <c r="MS79" s="13"/>
      <c r="MT79" s="13"/>
      <c r="MU79" s="13"/>
      <c r="MV79" s="13"/>
      <c r="MW79" s="13"/>
      <c r="MX79" s="13"/>
      <c r="MY79" s="13"/>
      <c r="MZ79" s="13"/>
      <c r="NA79" s="13"/>
      <c r="NB79" s="13"/>
      <c r="NC79" s="13"/>
      <c r="ND79" s="13"/>
      <c r="NE79" s="13"/>
      <c r="NF79" s="13"/>
      <c r="NG79" s="13"/>
      <c r="NH79" s="13"/>
      <c r="NI79" s="13"/>
      <c r="NJ79" s="13"/>
      <c r="NK79" s="13"/>
      <c r="NL79" s="13"/>
      <c r="NM79" s="13"/>
      <c r="NN79" s="13"/>
      <c r="NO79" s="13"/>
      <c r="NP79" s="13"/>
      <c r="NQ79" s="13"/>
      <c r="NR79" s="13"/>
      <c r="NS79" s="13"/>
      <c r="NT79" s="13"/>
      <c r="NU79" s="13"/>
      <c r="NV79" s="13"/>
      <c r="NW79" s="13"/>
      <c r="NX79" s="13"/>
      <c r="NY79" s="13"/>
      <c r="NZ79" s="13"/>
      <c r="OA79" s="13"/>
      <c r="OB79" s="13"/>
      <c r="OC79" s="13"/>
      <c r="OD79" s="13"/>
      <c r="OE79" s="13"/>
      <c r="OF79" s="13"/>
      <c r="OG79" s="13"/>
      <c r="OH79" s="13"/>
      <c r="OI79" s="13"/>
      <c r="OJ79" s="13"/>
      <c r="OK79" s="13"/>
      <c r="OL79" s="13"/>
      <c r="OM79" s="13"/>
      <c r="ON79" s="13"/>
      <c r="OO79" s="13"/>
      <c r="OP79" s="13"/>
      <c r="OQ79" s="13"/>
      <c r="OR79" s="13"/>
      <c r="OS79" s="13"/>
      <c r="OT79" s="13"/>
      <c r="OU79" s="13"/>
      <c r="OV79" s="13"/>
      <c r="OW79" s="13"/>
      <c r="OX79" s="13"/>
      <c r="OY79" s="13"/>
      <c r="OZ79" s="13"/>
      <c r="PA79" s="13"/>
      <c r="PB79" s="13"/>
      <c r="PC79" s="13"/>
      <c r="PD79" s="13"/>
      <c r="PE79" s="13"/>
      <c r="PF79" s="13"/>
      <c r="PG79" s="13"/>
      <c r="PH79" s="13"/>
      <c r="PI79" s="13"/>
      <c r="PJ79" s="13"/>
      <c r="PK79" s="13"/>
      <c r="PL79" s="13"/>
      <c r="PM79" s="13"/>
      <c r="PN79" s="13"/>
      <c r="PO79" s="13"/>
      <c r="PP79" s="13"/>
      <c r="PQ79" s="13"/>
      <c r="PR79" s="13"/>
      <c r="PS79" s="13"/>
      <c r="PT79" s="13"/>
      <c r="PU79" s="13"/>
      <c r="PV79" s="13"/>
      <c r="PW79" s="13"/>
    </row>
    <row r="80" spans="1:439" x14ac:dyDescent="0.2">
      <c r="A80" s="88" t="s">
        <v>106</v>
      </c>
      <c r="B80" s="10" t="s">
        <v>439</v>
      </c>
      <c r="C80" s="15" t="s">
        <v>391</v>
      </c>
      <c r="D80" s="20" t="s">
        <v>1</v>
      </c>
      <c r="E80" s="102">
        <v>6</v>
      </c>
      <c r="F80" s="65">
        <v>75.209999999999994</v>
      </c>
      <c r="G80" s="65">
        <f>59</f>
        <v>59</v>
      </c>
      <c r="H80" s="63">
        <f t="shared" si="23"/>
        <v>134.20999999999998</v>
      </c>
      <c r="I80" s="63">
        <f t="shared" si="24"/>
        <v>805.25999999999988</v>
      </c>
      <c r="J80" s="12">
        <f t="shared" si="0"/>
        <v>0.25</v>
      </c>
      <c r="K80" s="63">
        <f t="shared" si="25"/>
        <v>1006.5749999999998</v>
      </c>
      <c r="L80" s="19">
        <f t="shared" si="49"/>
        <v>1.6786282978610931E-3</v>
      </c>
      <c r="M80" s="137"/>
      <c r="N80" s="137"/>
    </row>
    <row r="81" spans="1:439" s="14" customFormat="1" x14ac:dyDescent="0.2">
      <c r="A81" s="88" t="s">
        <v>107</v>
      </c>
      <c r="B81" s="10" t="s">
        <v>442</v>
      </c>
      <c r="C81" s="138" t="s">
        <v>393</v>
      </c>
      <c r="D81" s="109" t="s">
        <v>1</v>
      </c>
      <c r="E81" s="110">
        <v>1</v>
      </c>
      <c r="F81" s="65">
        <v>1168.1400000000001</v>
      </c>
      <c r="G81" s="65">
        <f>5*59</f>
        <v>295</v>
      </c>
      <c r="H81" s="63">
        <f>F81+G81</f>
        <v>1463.14</v>
      </c>
      <c r="I81" s="63">
        <f>E81*H81</f>
        <v>1463.14</v>
      </c>
      <c r="J81" s="12">
        <f t="shared" si="0"/>
        <v>0.25</v>
      </c>
      <c r="K81" s="63">
        <f>I81*(1+J81)</f>
        <v>1828.9250000000002</v>
      </c>
      <c r="L81" s="19">
        <f t="shared" si="49"/>
        <v>3.0500313038428341E-3</v>
      </c>
      <c r="M81" s="80"/>
      <c r="N81" s="80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  <c r="IT81" s="13"/>
      <c r="IU81" s="13"/>
      <c r="IV81" s="13"/>
      <c r="IW81" s="13"/>
      <c r="IX81" s="13"/>
      <c r="IY81" s="13"/>
      <c r="IZ81" s="13"/>
      <c r="JA81" s="13"/>
      <c r="JB81" s="13"/>
      <c r="JC81" s="13"/>
      <c r="JD81" s="13"/>
      <c r="JE81" s="13"/>
      <c r="JF81" s="13"/>
      <c r="JG81" s="13"/>
      <c r="JH81" s="13"/>
      <c r="JI81" s="13"/>
      <c r="JJ81" s="13"/>
      <c r="JK81" s="13"/>
      <c r="JL81" s="13"/>
      <c r="JM81" s="13"/>
      <c r="JN81" s="13"/>
      <c r="JO81" s="13"/>
      <c r="JP81" s="13"/>
      <c r="JQ81" s="13"/>
      <c r="JR81" s="13"/>
      <c r="JS81" s="13"/>
      <c r="JT81" s="13"/>
      <c r="JU81" s="13"/>
      <c r="JV81" s="13"/>
      <c r="JW81" s="13"/>
      <c r="JX81" s="13"/>
      <c r="JY81" s="13"/>
      <c r="JZ81" s="13"/>
      <c r="KA81" s="13"/>
      <c r="KB81" s="13"/>
      <c r="KC81" s="13"/>
      <c r="KD81" s="13"/>
      <c r="KE81" s="13"/>
      <c r="KF81" s="13"/>
      <c r="KG81" s="13"/>
      <c r="KH81" s="13"/>
      <c r="KI81" s="13"/>
      <c r="KJ81" s="13"/>
      <c r="KK81" s="13"/>
      <c r="KL81" s="13"/>
      <c r="KM81" s="13"/>
      <c r="KN81" s="13"/>
      <c r="KO81" s="13"/>
      <c r="KP81" s="13"/>
      <c r="KQ81" s="13"/>
      <c r="KR81" s="13"/>
      <c r="KS81" s="13"/>
      <c r="KT81" s="13"/>
      <c r="KU81" s="13"/>
      <c r="KV81" s="13"/>
      <c r="KW81" s="13"/>
      <c r="KX81" s="13"/>
      <c r="KY81" s="13"/>
      <c r="KZ81" s="13"/>
      <c r="LA81" s="13"/>
      <c r="LB81" s="13"/>
      <c r="LC81" s="13"/>
      <c r="LD81" s="13"/>
      <c r="LE81" s="13"/>
      <c r="LF81" s="13"/>
      <c r="LG81" s="13"/>
      <c r="LH81" s="13"/>
      <c r="LI81" s="13"/>
      <c r="LJ81" s="13"/>
      <c r="LK81" s="13"/>
      <c r="LL81" s="13"/>
      <c r="LM81" s="13"/>
      <c r="LN81" s="13"/>
      <c r="LO81" s="13"/>
      <c r="LP81" s="13"/>
      <c r="LQ81" s="13"/>
      <c r="LR81" s="13"/>
      <c r="LS81" s="13"/>
      <c r="LT81" s="13"/>
      <c r="LU81" s="13"/>
      <c r="LV81" s="13"/>
      <c r="LW81" s="13"/>
      <c r="LX81" s="13"/>
      <c r="LY81" s="13"/>
      <c r="LZ81" s="13"/>
      <c r="MA81" s="13"/>
      <c r="MB81" s="13"/>
      <c r="MC81" s="13"/>
      <c r="MD81" s="13"/>
      <c r="ME81" s="13"/>
      <c r="MF81" s="13"/>
      <c r="MG81" s="13"/>
      <c r="MH81" s="13"/>
      <c r="MI81" s="13"/>
      <c r="MJ81" s="13"/>
      <c r="MK81" s="13"/>
      <c r="ML81" s="13"/>
      <c r="MM81" s="13"/>
      <c r="MN81" s="13"/>
      <c r="MO81" s="13"/>
      <c r="MP81" s="13"/>
      <c r="MQ81" s="13"/>
      <c r="MR81" s="13"/>
      <c r="MS81" s="13"/>
      <c r="MT81" s="13"/>
      <c r="MU81" s="13"/>
      <c r="MV81" s="13"/>
      <c r="MW81" s="13"/>
      <c r="MX81" s="13"/>
      <c r="MY81" s="13"/>
      <c r="MZ81" s="13"/>
      <c r="NA81" s="13"/>
      <c r="NB81" s="13"/>
      <c r="NC81" s="13"/>
      <c r="ND81" s="13"/>
      <c r="NE81" s="13"/>
      <c r="NF81" s="13"/>
      <c r="NG81" s="13"/>
      <c r="NH81" s="13"/>
      <c r="NI81" s="13"/>
      <c r="NJ81" s="13"/>
      <c r="NK81" s="13"/>
      <c r="NL81" s="13"/>
      <c r="NM81" s="13"/>
      <c r="NN81" s="13"/>
      <c r="NO81" s="13"/>
      <c r="NP81" s="13"/>
      <c r="NQ81" s="13"/>
      <c r="NR81" s="13"/>
      <c r="NS81" s="13"/>
      <c r="NT81" s="13"/>
      <c r="NU81" s="13"/>
      <c r="NV81" s="13"/>
      <c r="NW81" s="13"/>
      <c r="NX81" s="13"/>
      <c r="NY81" s="13"/>
      <c r="NZ81" s="13"/>
      <c r="OA81" s="13"/>
      <c r="OB81" s="13"/>
      <c r="OC81" s="13"/>
      <c r="OD81" s="13"/>
      <c r="OE81" s="13"/>
      <c r="OF81" s="13"/>
      <c r="OG81" s="13"/>
      <c r="OH81" s="13"/>
      <c r="OI81" s="13"/>
      <c r="OJ81" s="13"/>
      <c r="OK81" s="13"/>
      <c r="OL81" s="13"/>
      <c r="OM81" s="13"/>
      <c r="ON81" s="13"/>
      <c r="OO81" s="13"/>
      <c r="OP81" s="13"/>
      <c r="OQ81" s="13"/>
      <c r="OR81" s="13"/>
      <c r="OS81" s="13"/>
      <c r="OT81" s="13"/>
      <c r="OU81" s="13"/>
      <c r="OV81" s="13"/>
      <c r="OW81" s="13"/>
      <c r="OX81" s="13"/>
      <c r="OY81" s="13"/>
      <c r="OZ81" s="13"/>
      <c r="PA81" s="13"/>
      <c r="PB81" s="13"/>
      <c r="PC81" s="13"/>
      <c r="PD81" s="13"/>
      <c r="PE81" s="13"/>
      <c r="PF81" s="13"/>
      <c r="PG81" s="13"/>
      <c r="PH81" s="13"/>
      <c r="PI81" s="13"/>
      <c r="PJ81" s="13"/>
      <c r="PK81" s="13"/>
      <c r="PL81" s="13"/>
      <c r="PM81" s="13"/>
      <c r="PN81" s="13"/>
      <c r="PO81" s="13"/>
      <c r="PP81" s="13"/>
      <c r="PQ81" s="13"/>
      <c r="PR81" s="13"/>
      <c r="PS81" s="13"/>
      <c r="PT81" s="13"/>
      <c r="PU81" s="13"/>
      <c r="PV81" s="13"/>
      <c r="PW81" s="13"/>
    </row>
    <row r="82" spans="1:439" x14ac:dyDescent="0.2">
      <c r="A82" s="88" t="s">
        <v>107</v>
      </c>
      <c r="B82" s="10" t="s">
        <v>443</v>
      </c>
      <c r="C82" s="96" t="s">
        <v>395</v>
      </c>
      <c r="D82" s="107" t="s">
        <v>1</v>
      </c>
      <c r="E82" s="140">
        <v>15</v>
      </c>
      <c r="F82" s="65">
        <v>740.21</v>
      </c>
      <c r="G82" s="65">
        <f>5*59</f>
        <v>295</v>
      </c>
      <c r="H82" s="63">
        <f>F82+G82</f>
        <v>1035.21</v>
      </c>
      <c r="I82" s="63">
        <f>E82*H82</f>
        <v>15528.150000000001</v>
      </c>
      <c r="J82" s="12">
        <f t="shared" si="0"/>
        <v>0.25</v>
      </c>
      <c r="K82" s="63">
        <f>I82*(1+J82)</f>
        <v>19410.1875</v>
      </c>
      <c r="L82" s="19">
        <f t="shared" si="49"/>
        <v>3.2369659493122392E-2</v>
      </c>
      <c r="M82" s="137"/>
      <c r="N82" s="137"/>
    </row>
    <row r="83" spans="1:439" x14ac:dyDescent="0.2">
      <c r="A83" s="88" t="s">
        <v>108</v>
      </c>
      <c r="B83" s="10" t="s">
        <v>444</v>
      </c>
      <c r="C83" s="96" t="s">
        <v>394</v>
      </c>
      <c r="D83" s="107" t="s">
        <v>1</v>
      </c>
      <c r="E83" s="140">
        <v>21</v>
      </c>
      <c r="F83" s="65">
        <v>992.05</v>
      </c>
      <c r="G83" s="65">
        <f>5*59</f>
        <v>295</v>
      </c>
      <c r="H83" s="63">
        <f>F83+G83</f>
        <v>1287.05</v>
      </c>
      <c r="I83" s="63">
        <f>E83*H83</f>
        <v>27028.05</v>
      </c>
      <c r="J83" s="12">
        <f t="shared" si="0"/>
        <v>0.25</v>
      </c>
      <c r="K83" s="63">
        <f>I83*(1+J83)</f>
        <v>33785.0625</v>
      </c>
      <c r="L83" s="19">
        <f t="shared" si="49"/>
        <v>5.6342112567375167E-2</v>
      </c>
      <c r="M83" s="137"/>
      <c r="N83" s="137"/>
    </row>
    <row r="84" spans="1:439" s="14" customFormat="1" x14ac:dyDescent="0.2">
      <c r="A84" s="88" t="s">
        <v>109</v>
      </c>
      <c r="B84" s="10" t="s">
        <v>354</v>
      </c>
      <c r="C84" s="93" t="s">
        <v>346</v>
      </c>
      <c r="D84" s="109" t="s">
        <v>1</v>
      </c>
      <c r="E84" s="110">
        <v>2</v>
      </c>
      <c r="F84" s="65">
        <v>1029</v>
      </c>
      <c r="G84" s="65">
        <f>5*59</f>
        <v>295</v>
      </c>
      <c r="H84" s="63">
        <f>F84+G84</f>
        <v>1324</v>
      </c>
      <c r="I84" s="63">
        <f>E84*H84</f>
        <v>2648</v>
      </c>
      <c r="J84" s="12">
        <f t="shared" si="0"/>
        <v>0.25</v>
      </c>
      <c r="K84" s="63">
        <f>I84*(1+J84)</f>
        <v>3310</v>
      </c>
      <c r="L84" s="19">
        <f t="shared" si="49"/>
        <v>5.5199658901922055E-3</v>
      </c>
      <c r="M84" s="80"/>
      <c r="N84" s="80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  <c r="IT84" s="13"/>
      <c r="IU84" s="13"/>
      <c r="IV84" s="13"/>
      <c r="IW84" s="13"/>
      <c r="IX84" s="13"/>
      <c r="IY84" s="13"/>
      <c r="IZ84" s="13"/>
      <c r="JA84" s="13"/>
      <c r="JB84" s="13"/>
      <c r="JC84" s="13"/>
      <c r="JD84" s="13"/>
      <c r="JE84" s="13"/>
      <c r="JF84" s="13"/>
      <c r="JG84" s="13"/>
      <c r="JH84" s="13"/>
      <c r="JI84" s="13"/>
      <c r="JJ84" s="13"/>
      <c r="JK84" s="13"/>
      <c r="JL84" s="13"/>
      <c r="JM84" s="13"/>
      <c r="JN84" s="13"/>
      <c r="JO84" s="13"/>
      <c r="JP84" s="13"/>
      <c r="JQ84" s="13"/>
      <c r="JR84" s="13"/>
      <c r="JS84" s="13"/>
      <c r="JT84" s="13"/>
      <c r="JU84" s="13"/>
      <c r="JV84" s="13"/>
      <c r="JW84" s="13"/>
      <c r="JX84" s="13"/>
      <c r="JY84" s="13"/>
      <c r="JZ84" s="13"/>
      <c r="KA84" s="13"/>
      <c r="KB84" s="13"/>
      <c r="KC84" s="13"/>
      <c r="KD84" s="13"/>
      <c r="KE84" s="13"/>
      <c r="KF84" s="13"/>
      <c r="KG84" s="13"/>
      <c r="KH84" s="13"/>
      <c r="KI84" s="13"/>
      <c r="KJ84" s="13"/>
      <c r="KK84" s="13"/>
      <c r="KL84" s="13"/>
      <c r="KM84" s="13"/>
      <c r="KN84" s="13"/>
      <c r="KO84" s="13"/>
      <c r="KP84" s="13"/>
      <c r="KQ84" s="13"/>
      <c r="KR84" s="13"/>
      <c r="KS84" s="13"/>
      <c r="KT84" s="13"/>
      <c r="KU84" s="13"/>
      <c r="KV84" s="13"/>
      <c r="KW84" s="13"/>
      <c r="KX84" s="13"/>
      <c r="KY84" s="13"/>
      <c r="KZ84" s="13"/>
      <c r="LA84" s="13"/>
      <c r="LB84" s="13"/>
      <c r="LC84" s="13"/>
      <c r="LD84" s="13"/>
      <c r="LE84" s="13"/>
      <c r="LF84" s="13"/>
      <c r="LG84" s="13"/>
      <c r="LH84" s="13"/>
      <c r="LI84" s="13"/>
      <c r="LJ84" s="13"/>
      <c r="LK84" s="13"/>
      <c r="LL84" s="13"/>
      <c r="LM84" s="13"/>
      <c r="LN84" s="13"/>
      <c r="LO84" s="13"/>
      <c r="LP84" s="13"/>
      <c r="LQ84" s="13"/>
      <c r="LR84" s="13"/>
      <c r="LS84" s="13"/>
      <c r="LT84" s="13"/>
      <c r="LU84" s="13"/>
      <c r="LV84" s="13"/>
      <c r="LW84" s="13"/>
      <c r="LX84" s="13"/>
      <c r="LY84" s="13"/>
      <c r="LZ84" s="13"/>
      <c r="MA84" s="13"/>
      <c r="MB84" s="13"/>
      <c r="MC84" s="13"/>
      <c r="MD84" s="13"/>
      <c r="ME84" s="13"/>
      <c r="MF84" s="13"/>
      <c r="MG84" s="13"/>
      <c r="MH84" s="13"/>
      <c r="MI84" s="13"/>
      <c r="MJ84" s="13"/>
      <c r="MK84" s="13"/>
      <c r="ML84" s="13"/>
      <c r="MM84" s="13"/>
      <c r="MN84" s="13"/>
      <c r="MO84" s="13"/>
      <c r="MP84" s="13"/>
      <c r="MQ84" s="13"/>
      <c r="MR84" s="13"/>
      <c r="MS84" s="13"/>
      <c r="MT84" s="13"/>
      <c r="MU84" s="13"/>
      <c r="MV84" s="13"/>
      <c r="MW84" s="13"/>
      <c r="MX84" s="13"/>
      <c r="MY84" s="13"/>
      <c r="MZ84" s="13"/>
      <c r="NA84" s="13"/>
      <c r="NB84" s="13"/>
      <c r="NC84" s="13"/>
      <c r="ND84" s="13"/>
      <c r="NE84" s="13"/>
      <c r="NF84" s="13"/>
      <c r="NG84" s="13"/>
      <c r="NH84" s="13"/>
      <c r="NI84" s="13"/>
      <c r="NJ84" s="13"/>
      <c r="NK84" s="13"/>
      <c r="NL84" s="13"/>
      <c r="NM84" s="13"/>
      <c r="NN84" s="13"/>
      <c r="NO84" s="13"/>
      <c r="NP84" s="13"/>
      <c r="NQ84" s="13"/>
      <c r="NR84" s="13"/>
      <c r="NS84" s="13"/>
      <c r="NT84" s="13"/>
      <c r="NU84" s="13"/>
      <c r="NV84" s="13"/>
      <c r="NW84" s="13"/>
      <c r="NX84" s="13"/>
      <c r="NY84" s="13"/>
      <c r="NZ84" s="13"/>
      <c r="OA84" s="13"/>
      <c r="OB84" s="13"/>
      <c r="OC84" s="13"/>
      <c r="OD84" s="13"/>
      <c r="OE84" s="13"/>
      <c r="OF84" s="13"/>
      <c r="OG84" s="13"/>
      <c r="OH84" s="13"/>
      <c r="OI84" s="13"/>
      <c r="OJ84" s="13"/>
      <c r="OK84" s="13"/>
      <c r="OL84" s="13"/>
      <c r="OM84" s="13"/>
      <c r="ON84" s="13"/>
      <c r="OO84" s="13"/>
      <c r="OP84" s="13"/>
      <c r="OQ84" s="13"/>
      <c r="OR84" s="13"/>
      <c r="OS84" s="13"/>
      <c r="OT84" s="13"/>
      <c r="OU84" s="13"/>
      <c r="OV84" s="13"/>
      <c r="OW84" s="13"/>
      <c r="OX84" s="13"/>
      <c r="OY84" s="13"/>
      <c r="OZ84" s="13"/>
      <c r="PA84" s="13"/>
      <c r="PB84" s="13"/>
      <c r="PC84" s="13"/>
      <c r="PD84" s="13"/>
      <c r="PE84" s="13"/>
      <c r="PF84" s="13"/>
      <c r="PG84" s="13"/>
      <c r="PH84" s="13"/>
      <c r="PI84" s="13"/>
      <c r="PJ84" s="13"/>
      <c r="PK84" s="13"/>
      <c r="PL84" s="13"/>
      <c r="PM84" s="13"/>
      <c r="PN84" s="13"/>
      <c r="PO84" s="13"/>
      <c r="PP84" s="13"/>
      <c r="PQ84" s="13"/>
      <c r="PR84" s="13"/>
      <c r="PS84" s="13"/>
      <c r="PT84" s="13"/>
      <c r="PU84" s="13"/>
      <c r="PV84" s="13"/>
      <c r="PW84" s="13"/>
    </row>
    <row r="85" spans="1:439" s="14" customFormat="1" x14ac:dyDescent="0.2">
      <c r="A85" s="88" t="s">
        <v>109</v>
      </c>
      <c r="B85" s="10" t="s">
        <v>354</v>
      </c>
      <c r="C85" s="93" t="s">
        <v>347</v>
      </c>
      <c r="D85" s="109" t="s">
        <v>1</v>
      </c>
      <c r="E85" s="110">
        <v>3</v>
      </c>
      <c r="F85" s="65">
        <v>750</v>
      </c>
      <c r="G85" s="65">
        <f>5*59</f>
        <v>295</v>
      </c>
      <c r="H85" s="63">
        <f>F85+G85</f>
        <v>1045</v>
      </c>
      <c r="I85" s="63">
        <f>E85*H85</f>
        <v>3135</v>
      </c>
      <c r="J85" s="12">
        <f t="shared" si="0"/>
        <v>0.25</v>
      </c>
      <c r="K85" s="63">
        <f>I85*(1+J85)</f>
        <v>3918.75</v>
      </c>
      <c r="L85" s="19">
        <f t="shared" si="49"/>
        <v>6.5351559915984006E-3</v>
      </c>
      <c r="M85" s="80"/>
      <c r="N85" s="80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  <c r="IQ85" s="13"/>
      <c r="IR85" s="13"/>
      <c r="IS85" s="13"/>
      <c r="IT85" s="13"/>
      <c r="IU85" s="13"/>
      <c r="IV85" s="13"/>
      <c r="IW85" s="13"/>
      <c r="IX85" s="13"/>
      <c r="IY85" s="13"/>
      <c r="IZ85" s="13"/>
      <c r="JA85" s="13"/>
      <c r="JB85" s="13"/>
      <c r="JC85" s="13"/>
      <c r="JD85" s="13"/>
      <c r="JE85" s="13"/>
      <c r="JF85" s="13"/>
      <c r="JG85" s="13"/>
      <c r="JH85" s="13"/>
      <c r="JI85" s="13"/>
      <c r="JJ85" s="13"/>
      <c r="JK85" s="13"/>
      <c r="JL85" s="13"/>
      <c r="JM85" s="13"/>
      <c r="JN85" s="13"/>
      <c r="JO85" s="13"/>
      <c r="JP85" s="13"/>
      <c r="JQ85" s="13"/>
      <c r="JR85" s="13"/>
      <c r="JS85" s="13"/>
      <c r="JT85" s="13"/>
      <c r="JU85" s="13"/>
      <c r="JV85" s="13"/>
      <c r="JW85" s="13"/>
      <c r="JX85" s="13"/>
      <c r="JY85" s="13"/>
      <c r="JZ85" s="13"/>
      <c r="KA85" s="13"/>
      <c r="KB85" s="13"/>
      <c r="KC85" s="13"/>
      <c r="KD85" s="13"/>
      <c r="KE85" s="13"/>
      <c r="KF85" s="13"/>
      <c r="KG85" s="13"/>
      <c r="KH85" s="13"/>
      <c r="KI85" s="13"/>
      <c r="KJ85" s="13"/>
      <c r="KK85" s="13"/>
      <c r="KL85" s="13"/>
      <c r="KM85" s="13"/>
      <c r="KN85" s="13"/>
      <c r="KO85" s="13"/>
      <c r="KP85" s="13"/>
      <c r="KQ85" s="13"/>
      <c r="KR85" s="13"/>
      <c r="KS85" s="13"/>
      <c r="KT85" s="13"/>
      <c r="KU85" s="13"/>
      <c r="KV85" s="13"/>
      <c r="KW85" s="13"/>
      <c r="KX85" s="13"/>
      <c r="KY85" s="13"/>
      <c r="KZ85" s="13"/>
      <c r="LA85" s="13"/>
      <c r="LB85" s="13"/>
      <c r="LC85" s="13"/>
      <c r="LD85" s="13"/>
      <c r="LE85" s="13"/>
      <c r="LF85" s="13"/>
      <c r="LG85" s="13"/>
      <c r="LH85" s="13"/>
      <c r="LI85" s="13"/>
      <c r="LJ85" s="13"/>
      <c r="LK85" s="13"/>
      <c r="LL85" s="13"/>
      <c r="LM85" s="13"/>
      <c r="LN85" s="13"/>
      <c r="LO85" s="13"/>
      <c r="LP85" s="13"/>
      <c r="LQ85" s="13"/>
      <c r="LR85" s="13"/>
      <c r="LS85" s="13"/>
      <c r="LT85" s="13"/>
      <c r="LU85" s="13"/>
      <c r="LV85" s="13"/>
      <c r="LW85" s="13"/>
      <c r="LX85" s="13"/>
      <c r="LY85" s="13"/>
      <c r="LZ85" s="13"/>
      <c r="MA85" s="13"/>
      <c r="MB85" s="13"/>
      <c r="MC85" s="13"/>
      <c r="MD85" s="13"/>
      <c r="ME85" s="13"/>
      <c r="MF85" s="13"/>
      <c r="MG85" s="13"/>
      <c r="MH85" s="13"/>
      <c r="MI85" s="13"/>
      <c r="MJ85" s="13"/>
      <c r="MK85" s="13"/>
      <c r="ML85" s="13"/>
      <c r="MM85" s="13"/>
      <c r="MN85" s="13"/>
      <c r="MO85" s="13"/>
      <c r="MP85" s="13"/>
      <c r="MQ85" s="13"/>
      <c r="MR85" s="13"/>
      <c r="MS85" s="13"/>
      <c r="MT85" s="13"/>
      <c r="MU85" s="13"/>
      <c r="MV85" s="13"/>
      <c r="MW85" s="13"/>
      <c r="MX85" s="13"/>
      <c r="MY85" s="13"/>
      <c r="MZ85" s="13"/>
      <c r="NA85" s="13"/>
      <c r="NB85" s="13"/>
      <c r="NC85" s="13"/>
      <c r="ND85" s="13"/>
      <c r="NE85" s="13"/>
      <c r="NF85" s="13"/>
      <c r="NG85" s="13"/>
      <c r="NH85" s="13"/>
      <c r="NI85" s="13"/>
      <c r="NJ85" s="13"/>
      <c r="NK85" s="13"/>
      <c r="NL85" s="13"/>
      <c r="NM85" s="13"/>
      <c r="NN85" s="13"/>
      <c r="NO85" s="13"/>
      <c r="NP85" s="13"/>
      <c r="NQ85" s="13"/>
      <c r="NR85" s="13"/>
      <c r="NS85" s="13"/>
      <c r="NT85" s="13"/>
      <c r="NU85" s="13"/>
      <c r="NV85" s="13"/>
      <c r="NW85" s="13"/>
      <c r="NX85" s="13"/>
      <c r="NY85" s="13"/>
      <c r="NZ85" s="13"/>
      <c r="OA85" s="13"/>
      <c r="OB85" s="13"/>
      <c r="OC85" s="13"/>
      <c r="OD85" s="13"/>
      <c r="OE85" s="13"/>
      <c r="OF85" s="13"/>
      <c r="OG85" s="13"/>
      <c r="OH85" s="13"/>
      <c r="OI85" s="13"/>
      <c r="OJ85" s="13"/>
      <c r="OK85" s="13"/>
      <c r="OL85" s="13"/>
      <c r="OM85" s="13"/>
      <c r="ON85" s="13"/>
      <c r="OO85" s="13"/>
      <c r="OP85" s="13"/>
      <c r="OQ85" s="13"/>
      <c r="OR85" s="13"/>
      <c r="OS85" s="13"/>
      <c r="OT85" s="13"/>
      <c r="OU85" s="13"/>
      <c r="OV85" s="13"/>
      <c r="OW85" s="13"/>
      <c r="OX85" s="13"/>
      <c r="OY85" s="13"/>
      <c r="OZ85" s="13"/>
      <c r="PA85" s="13"/>
      <c r="PB85" s="13"/>
      <c r="PC85" s="13"/>
      <c r="PD85" s="13"/>
      <c r="PE85" s="13"/>
      <c r="PF85" s="13"/>
      <c r="PG85" s="13"/>
      <c r="PH85" s="13"/>
      <c r="PI85" s="13"/>
      <c r="PJ85" s="13"/>
      <c r="PK85" s="13"/>
      <c r="PL85" s="13"/>
      <c r="PM85" s="13"/>
      <c r="PN85" s="13"/>
      <c r="PO85" s="13"/>
      <c r="PP85" s="13"/>
      <c r="PQ85" s="13"/>
      <c r="PR85" s="13"/>
      <c r="PS85" s="13"/>
      <c r="PT85" s="13"/>
      <c r="PU85" s="13"/>
      <c r="PV85" s="13"/>
      <c r="PW85" s="13"/>
    </row>
    <row r="86" spans="1:439" s="14" customFormat="1" x14ac:dyDescent="0.2">
      <c r="A86" s="88" t="s">
        <v>110</v>
      </c>
      <c r="B86" s="10" t="s">
        <v>348</v>
      </c>
      <c r="C86" s="15" t="s">
        <v>60</v>
      </c>
      <c r="D86" s="20" t="s">
        <v>1</v>
      </c>
      <c r="E86" s="102">
        <v>12</v>
      </c>
      <c r="F86" s="65"/>
      <c r="G86" s="65">
        <f>0.7*59</f>
        <v>41.3</v>
      </c>
      <c r="H86" s="63">
        <f t="shared" ref="H86:H94" si="56">F86+G86</f>
        <v>41.3</v>
      </c>
      <c r="I86" s="63">
        <f t="shared" ref="I86:I94" si="57">E86*H86</f>
        <v>495.59999999999997</v>
      </c>
      <c r="J86" s="12">
        <f t="shared" si="0"/>
        <v>0.25</v>
      </c>
      <c r="K86" s="63">
        <f t="shared" ref="K86:K94" si="58">I86*(1+J86)</f>
        <v>619.5</v>
      </c>
      <c r="L86" s="19">
        <f t="shared" si="49"/>
        <v>1.0331174830737375E-3</v>
      </c>
      <c r="M86" s="80"/>
      <c r="N86" s="80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  <c r="IQ86" s="13"/>
      <c r="IR86" s="13"/>
      <c r="IS86" s="13"/>
      <c r="IT86" s="13"/>
      <c r="IU86" s="13"/>
      <c r="IV86" s="13"/>
      <c r="IW86" s="13"/>
      <c r="IX86" s="13"/>
      <c r="IY86" s="13"/>
      <c r="IZ86" s="13"/>
      <c r="JA86" s="13"/>
      <c r="JB86" s="13"/>
      <c r="JC86" s="13"/>
      <c r="JD86" s="13"/>
      <c r="JE86" s="13"/>
      <c r="JF86" s="13"/>
      <c r="JG86" s="13"/>
      <c r="JH86" s="13"/>
      <c r="JI86" s="13"/>
      <c r="JJ86" s="13"/>
      <c r="JK86" s="13"/>
      <c r="JL86" s="13"/>
      <c r="JM86" s="13"/>
      <c r="JN86" s="13"/>
      <c r="JO86" s="13"/>
      <c r="JP86" s="13"/>
      <c r="JQ86" s="13"/>
      <c r="JR86" s="13"/>
      <c r="JS86" s="13"/>
      <c r="JT86" s="13"/>
      <c r="JU86" s="13"/>
      <c r="JV86" s="13"/>
      <c r="JW86" s="13"/>
      <c r="JX86" s="13"/>
      <c r="JY86" s="13"/>
      <c r="JZ86" s="13"/>
      <c r="KA86" s="13"/>
      <c r="KB86" s="13"/>
      <c r="KC86" s="13"/>
      <c r="KD86" s="13"/>
      <c r="KE86" s="13"/>
      <c r="KF86" s="13"/>
      <c r="KG86" s="13"/>
      <c r="KH86" s="13"/>
      <c r="KI86" s="13"/>
      <c r="KJ86" s="13"/>
      <c r="KK86" s="13"/>
      <c r="KL86" s="13"/>
      <c r="KM86" s="13"/>
      <c r="KN86" s="13"/>
      <c r="KO86" s="13"/>
      <c r="KP86" s="13"/>
      <c r="KQ86" s="13"/>
      <c r="KR86" s="13"/>
      <c r="KS86" s="13"/>
      <c r="KT86" s="13"/>
      <c r="KU86" s="13"/>
      <c r="KV86" s="13"/>
      <c r="KW86" s="13"/>
      <c r="KX86" s="13"/>
      <c r="KY86" s="13"/>
      <c r="KZ86" s="13"/>
      <c r="LA86" s="13"/>
      <c r="LB86" s="13"/>
      <c r="LC86" s="13"/>
      <c r="LD86" s="13"/>
      <c r="LE86" s="13"/>
      <c r="LF86" s="13"/>
      <c r="LG86" s="13"/>
      <c r="LH86" s="13"/>
      <c r="LI86" s="13"/>
      <c r="LJ86" s="13"/>
      <c r="LK86" s="13"/>
      <c r="LL86" s="13"/>
      <c r="LM86" s="13"/>
      <c r="LN86" s="13"/>
      <c r="LO86" s="13"/>
      <c r="LP86" s="13"/>
      <c r="LQ86" s="13"/>
      <c r="LR86" s="13"/>
      <c r="LS86" s="13"/>
      <c r="LT86" s="13"/>
      <c r="LU86" s="13"/>
      <c r="LV86" s="13"/>
      <c r="LW86" s="13"/>
      <c r="LX86" s="13"/>
      <c r="LY86" s="13"/>
      <c r="LZ86" s="13"/>
      <c r="MA86" s="13"/>
      <c r="MB86" s="13"/>
      <c r="MC86" s="13"/>
      <c r="MD86" s="13"/>
      <c r="ME86" s="13"/>
      <c r="MF86" s="13"/>
      <c r="MG86" s="13"/>
      <c r="MH86" s="13"/>
      <c r="MI86" s="13"/>
      <c r="MJ86" s="13"/>
      <c r="MK86" s="13"/>
      <c r="ML86" s="13"/>
      <c r="MM86" s="13"/>
      <c r="MN86" s="13"/>
      <c r="MO86" s="13"/>
      <c r="MP86" s="13"/>
      <c r="MQ86" s="13"/>
      <c r="MR86" s="13"/>
      <c r="MS86" s="13"/>
      <c r="MT86" s="13"/>
      <c r="MU86" s="13"/>
      <c r="MV86" s="13"/>
      <c r="MW86" s="13"/>
      <c r="MX86" s="13"/>
      <c r="MY86" s="13"/>
      <c r="MZ86" s="13"/>
      <c r="NA86" s="13"/>
      <c r="NB86" s="13"/>
      <c r="NC86" s="13"/>
      <c r="ND86" s="13"/>
      <c r="NE86" s="13"/>
      <c r="NF86" s="13"/>
      <c r="NG86" s="13"/>
      <c r="NH86" s="13"/>
      <c r="NI86" s="13"/>
      <c r="NJ86" s="13"/>
      <c r="NK86" s="13"/>
      <c r="NL86" s="13"/>
      <c r="NM86" s="13"/>
      <c r="NN86" s="13"/>
      <c r="NO86" s="13"/>
      <c r="NP86" s="13"/>
      <c r="NQ86" s="13"/>
      <c r="NR86" s="13"/>
      <c r="NS86" s="13"/>
      <c r="NT86" s="13"/>
      <c r="NU86" s="13"/>
      <c r="NV86" s="13"/>
      <c r="NW86" s="13"/>
      <c r="NX86" s="13"/>
      <c r="NY86" s="13"/>
      <c r="NZ86" s="13"/>
      <c r="OA86" s="13"/>
      <c r="OB86" s="13"/>
      <c r="OC86" s="13"/>
      <c r="OD86" s="13"/>
      <c r="OE86" s="13"/>
      <c r="OF86" s="13"/>
      <c r="OG86" s="13"/>
      <c r="OH86" s="13"/>
      <c r="OI86" s="13"/>
      <c r="OJ86" s="13"/>
      <c r="OK86" s="13"/>
      <c r="OL86" s="13"/>
      <c r="OM86" s="13"/>
      <c r="ON86" s="13"/>
      <c r="OO86" s="13"/>
      <c r="OP86" s="13"/>
      <c r="OQ86" s="13"/>
      <c r="OR86" s="13"/>
      <c r="OS86" s="13"/>
      <c r="OT86" s="13"/>
      <c r="OU86" s="13"/>
      <c r="OV86" s="13"/>
      <c r="OW86" s="13"/>
      <c r="OX86" s="13"/>
      <c r="OY86" s="13"/>
      <c r="OZ86" s="13"/>
      <c r="PA86" s="13"/>
      <c r="PB86" s="13"/>
      <c r="PC86" s="13"/>
      <c r="PD86" s="13"/>
      <c r="PE86" s="13"/>
      <c r="PF86" s="13"/>
      <c r="PG86" s="13"/>
      <c r="PH86" s="13"/>
      <c r="PI86" s="13"/>
      <c r="PJ86" s="13"/>
      <c r="PK86" s="13"/>
      <c r="PL86" s="13"/>
      <c r="PM86" s="13"/>
      <c r="PN86" s="13"/>
      <c r="PO86" s="13"/>
      <c r="PP86" s="13"/>
      <c r="PQ86" s="13"/>
      <c r="PR86" s="13"/>
      <c r="PS86" s="13"/>
      <c r="PT86" s="13"/>
      <c r="PU86" s="13"/>
      <c r="PV86" s="13"/>
      <c r="PW86" s="13"/>
    </row>
    <row r="87" spans="1:439" s="14" customFormat="1" x14ac:dyDescent="0.2">
      <c r="A87" s="88" t="s">
        <v>111</v>
      </c>
      <c r="B87" s="10" t="s">
        <v>445</v>
      </c>
      <c r="C87" s="15" t="s">
        <v>446</v>
      </c>
      <c r="D87" s="20" t="s">
        <v>324</v>
      </c>
      <c r="E87" s="102">
        <f>106*2.059</f>
        <v>218.25400000000002</v>
      </c>
      <c r="F87" s="65"/>
      <c r="G87" s="65">
        <v>59</v>
      </c>
      <c r="H87" s="63">
        <f t="shared" si="56"/>
        <v>59</v>
      </c>
      <c r="I87" s="63">
        <f t="shared" si="57"/>
        <v>12876.986000000001</v>
      </c>
      <c r="J87" s="12">
        <f t="shared" si="0"/>
        <v>0.25</v>
      </c>
      <c r="K87" s="63">
        <f t="shared" si="58"/>
        <v>16096.232500000002</v>
      </c>
      <c r="L87" s="19">
        <f t="shared" si="49"/>
        <v>2.6843097994139947E-2</v>
      </c>
      <c r="M87" s="80"/>
      <c r="N87" s="80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  <c r="IT87" s="13"/>
      <c r="IU87" s="13"/>
      <c r="IV87" s="13"/>
      <c r="IW87" s="13"/>
      <c r="IX87" s="13"/>
      <c r="IY87" s="13"/>
      <c r="IZ87" s="13"/>
      <c r="JA87" s="13"/>
      <c r="JB87" s="13"/>
      <c r="JC87" s="13"/>
      <c r="JD87" s="13"/>
      <c r="JE87" s="13"/>
      <c r="JF87" s="13"/>
      <c r="JG87" s="13"/>
      <c r="JH87" s="13"/>
      <c r="JI87" s="13"/>
      <c r="JJ87" s="13"/>
      <c r="JK87" s="13"/>
      <c r="JL87" s="13"/>
      <c r="JM87" s="13"/>
      <c r="JN87" s="13"/>
      <c r="JO87" s="13"/>
      <c r="JP87" s="13"/>
      <c r="JQ87" s="13"/>
      <c r="JR87" s="13"/>
      <c r="JS87" s="13"/>
      <c r="JT87" s="13"/>
      <c r="JU87" s="13"/>
      <c r="JV87" s="13"/>
      <c r="JW87" s="13"/>
      <c r="JX87" s="13"/>
      <c r="JY87" s="13"/>
      <c r="JZ87" s="13"/>
      <c r="KA87" s="13"/>
      <c r="KB87" s="13"/>
      <c r="KC87" s="13"/>
      <c r="KD87" s="13"/>
      <c r="KE87" s="13"/>
      <c r="KF87" s="13"/>
      <c r="KG87" s="13"/>
      <c r="KH87" s="13"/>
      <c r="KI87" s="13"/>
      <c r="KJ87" s="13"/>
      <c r="KK87" s="13"/>
      <c r="KL87" s="13"/>
      <c r="KM87" s="13"/>
      <c r="KN87" s="13"/>
      <c r="KO87" s="13"/>
      <c r="KP87" s="13"/>
      <c r="KQ87" s="13"/>
      <c r="KR87" s="13"/>
      <c r="KS87" s="13"/>
      <c r="KT87" s="13"/>
      <c r="KU87" s="13"/>
      <c r="KV87" s="13"/>
      <c r="KW87" s="13"/>
      <c r="KX87" s="13"/>
      <c r="KY87" s="13"/>
      <c r="KZ87" s="13"/>
      <c r="LA87" s="13"/>
      <c r="LB87" s="13"/>
      <c r="LC87" s="13"/>
      <c r="LD87" s="13"/>
      <c r="LE87" s="13"/>
      <c r="LF87" s="13"/>
      <c r="LG87" s="13"/>
      <c r="LH87" s="13"/>
      <c r="LI87" s="13"/>
      <c r="LJ87" s="13"/>
      <c r="LK87" s="13"/>
      <c r="LL87" s="13"/>
      <c r="LM87" s="13"/>
      <c r="LN87" s="13"/>
      <c r="LO87" s="13"/>
      <c r="LP87" s="13"/>
      <c r="LQ87" s="13"/>
      <c r="LR87" s="13"/>
      <c r="LS87" s="13"/>
      <c r="LT87" s="13"/>
      <c r="LU87" s="13"/>
      <c r="LV87" s="13"/>
      <c r="LW87" s="13"/>
      <c r="LX87" s="13"/>
      <c r="LY87" s="13"/>
      <c r="LZ87" s="13"/>
      <c r="MA87" s="13"/>
      <c r="MB87" s="13"/>
      <c r="MC87" s="13"/>
      <c r="MD87" s="13"/>
      <c r="ME87" s="13"/>
      <c r="MF87" s="13"/>
      <c r="MG87" s="13"/>
      <c r="MH87" s="13"/>
      <c r="MI87" s="13"/>
      <c r="MJ87" s="13"/>
      <c r="MK87" s="13"/>
      <c r="ML87" s="13"/>
      <c r="MM87" s="13"/>
      <c r="MN87" s="13"/>
      <c r="MO87" s="13"/>
      <c r="MP87" s="13"/>
      <c r="MQ87" s="13"/>
      <c r="MR87" s="13"/>
      <c r="MS87" s="13"/>
      <c r="MT87" s="13"/>
      <c r="MU87" s="13"/>
      <c r="MV87" s="13"/>
      <c r="MW87" s="13"/>
      <c r="MX87" s="13"/>
      <c r="MY87" s="13"/>
      <c r="MZ87" s="13"/>
      <c r="NA87" s="13"/>
      <c r="NB87" s="13"/>
      <c r="NC87" s="13"/>
      <c r="ND87" s="13"/>
      <c r="NE87" s="13"/>
      <c r="NF87" s="13"/>
      <c r="NG87" s="13"/>
      <c r="NH87" s="13"/>
      <c r="NI87" s="13"/>
      <c r="NJ87" s="13"/>
      <c r="NK87" s="13"/>
      <c r="NL87" s="13"/>
      <c r="NM87" s="13"/>
      <c r="NN87" s="13"/>
      <c r="NO87" s="13"/>
      <c r="NP87" s="13"/>
      <c r="NQ87" s="13"/>
      <c r="NR87" s="13"/>
      <c r="NS87" s="13"/>
      <c r="NT87" s="13"/>
      <c r="NU87" s="13"/>
      <c r="NV87" s="13"/>
      <c r="NW87" s="13"/>
      <c r="NX87" s="13"/>
      <c r="NY87" s="13"/>
      <c r="NZ87" s="13"/>
      <c r="OA87" s="13"/>
      <c r="OB87" s="13"/>
      <c r="OC87" s="13"/>
      <c r="OD87" s="13"/>
      <c r="OE87" s="13"/>
      <c r="OF87" s="13"/>
      <c r="OG87" s="13"/>
      <c r="OH87" s="13"/>
      <c r="OI87" s="13"/>
      <c r="OJ87" s="13"/>
      <c r="OK87" s="13"/>
      <c r="OL87" s="13"/>
      <c r="OM87" s="13"/>
      <c r="ON87" s="13"/>
      <c r="OO87" s="13"/>
      <c r="OP87" s="13"/>
      <c r="OQ87" s="13"/>
      <c r="OR87" s="13"/>
      <c r="OS87" s="13"/>
      <c r="OT87" s="13"/>
      <c r="OU87" s="13"/>
      <c r="OV87" s="13"/>
      <c r="OW87" s="13"/>
      <c r="OX87" s="13"/>
      <c r="OY87" s="13"/>
      <c r="OZ87" s="13"/>
      <c r="PA87" s="13"/>
      <c r="PB87" s="13"/>
      <c r="PC87" s="13"/>
      <c r="PD87" s="13"/>
      <c r="PE87" s="13"/>
      <c r="PF87" s="13"/>
      <c r="PG87" s="13"/>
      <c r="PH87" s="13"/>
      <c r="PI87" s="13"/>
      <c r="PJ87" s="13"/>
      <c r="PK87" s="13"/>
      <c r="PL87" s="13"/>
      <c r="PM87" s="13"/>
      <c r="PN87" s="13"/>
      <c r="PO87" s="13"/>
      <c r="PP87" s="13"/>
      <c r="PQ87" s="13"/>
      <c r="PR87" s="13"/>
      <c r="PS87" s="13"/>
      <c r="PT87" s="13"/>
      <c r="PU87" s="13"/>
      <c r="PV87" s="13"/>
      <c r="PW87" s="13"/>
    </row>
    <row r="88" spans="1:439" s="14" customFormat="1" x14ac:dyDescent="0.2">
      <c r="A88" s="88" t="s">
        <v>112</v>
      </c>
      <c r="B88" s="10" t="s">
        <v>447</v>
      </c>
      <c r="C88" s="15" t="s">
        <v>448</v>
      </c>
      <c r="D88" s="20" t="s">
        <v>324</v>
      </c>
      <c r="E88" s="102">
        <v>2.7</v>
      </c>
      <c r="F88" s="65"/>
      <c r="G88" s="65">
        <v>59</v>
      </c>
      <c r="H88" s="63">
        <f t="shared" si="56"/>
        <v>59</v>
      </c>
      <c r="I88" s="63">
        <f t="shared" si="57"/>
        <v>159.30000000000001</v>
      </c>
      <c r="J88" s="12">
        <f t="shared" si="0"/>
        <v>0.25</v>
      </c>
      <c r="K88" s="63">
        <f t="shared" si="58"/>
        <v>199.125</v>
      </c>
      <c r="L88" s="19">
        <f t="shared" si="49"/>
        <v>3.3207347670227282E-4</v>
      </c>
      <c r="M88" s="80"/>
      <c r="N88" s="80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  <c r="IU88" s="13"/>
      <c r="IV88" s="13"/>
      <c r="IW88" s="13"/>
      <c r="IX88" s="13"/>
      <c r="IY88" s="13"/>
      <c r="IZ88" s="13"/>
      <c r="JA88" s="13"/>
      <c r="JB88" s="13"/>
      <c r="JC88" s="13"/>
      <c r="JD88" s="13"/>
      <c r="JE88" s="13"/>
      <c r="JF88" s="13"/>
      <c r="JG88" s="13"/>
      <c r="JH88" s="13"/>
      <c r="JI88" s="13"/>
      <c r="JJ88" s="13"/>
      <c r="JK88" s="13"/>
      <c r="JL88" s="13"/>
      <c r="JM88" s="13"/>
      <c r="JN88" s="13"/>
      <c r="JO88" s="13"/>
      <c r="JP88" s="13"/>
      <c r="JQ88" s="13"/>
      <c r="JR88" s="13"/>
      <c r="JS88" s="13"/>
      <c r="JT88" s="13"/>
      <c r="JU88" s="13"/>
      <c r="JV88" s="13"/>
      <c r="JW88" s="13"/>
      <c r="JX88" s="13"/>
      <c r="JY88" s="13"/>
      <c r="JZ88" s="13"/>
      <c r="KA88" s="13"/>
      <c r="KB88" s="13"/>
      <c r="KC88" s="13"/>
      <c r="KD88" s="13"/>
      <c r="KE88" s="13"/>
      <c r="KF88" s="13"/>
      <c r="KG88" s="13"/>
      <c r="KH88" s="13"/>
      <c r="KI88" s="13"/>
      <c r="KJ88" s="13"/>
      <c r="KK88" s="13"/>
      <c r="KL88" s="13"/>
      <c r="KM88" s="13"/>
      <c r="KN88" s="13"/>
      <c r="KO88" s="13"/>
      <c r="KP88" s="13"/>
      <c r="KQ88" s="13"/>
      <c r="KR88" s="13"/>
      <c r="KS88" s="13"/>
      <c r="KT88" s="13"/>
      <c r="KU88" s="13"/>
      <c r="KV88" s="13"/>
      <c r="KW88" s="13"/>
      <c r="KX88" s="13"/>
      <c r="KY88" s="13"/>
      <c r="KZ88" s="13"/>
      <c r="LA88" s="13"/>
      <c r="LB88" s="13"/>
      <c r="LC88" s="13"/>
      <c r="LD88" s="13"/>
      <c r="LE88" s="13"/>
      <c r="LF88" s="13"/>
      <c r="LG88" s="13"/>
      <c r="LH88" s="13"/>
      <c r="LI88" s="13"/>
      <c r="LJ88" s="13"/>
      <c r="LK88" s="13"/>
      <c r="LL88" s="13"/>
      <c r="LM88" s="13"/>
      <c r="LN88" s="13"/>
      <c r="LO88" s="13"/>
      <c r="LP88" s="13"/>
      <c r="LQ88" s="13"/>
      <c r="LR88" s="13"/>
      <c r="LS88" s="13"/>
      <c r="LT88" s="13"/>
      <c r="LU88" s="13"/>
      <c r="LV88" s="13"/>
      <c r="LW88" s="13"/>
      <c r="LX88" s="13"/>
      <c r="LY88" s="13"/>
      <c r="LZ88" s="13"/>
      <c r="MA88" s="13"/>
      <c r="MB88" s="13"/>
      <c r="MC88" s="13"/>
      <c r="MD88" s="13"/>
      <c r="ME88" s="13"/>
      <c r="MF88" s="13"/>
      <c r="MG88" s="13"/>
      <c r="MH88" s="13"/>
      <c r="MI88" s="13"/>
      <c r="MJ88" s="13"/>
      <c r="MK88" s="13"/>
      <c r="ML88" s="13"/>
      <c r="MM88" s="13"/>
      <c r="MN88" s="13"/>
      <c r="MO88" s="13"/>
      <c r="MP88" s="13"/>
      <c r="MQ88" s="13"/>
      <c r="MR88" s="13"/>
      <c r="MS88" s="13"/>
      <c r="MT88" s="13"/>
      <c r="MU88" s="13"/>
      <c r="MV88" s="13"/>
      <c r="MW88" s="13"/>
      <c r="MX88" s="13"/>
      <c r="MY88" s="13"/>
      <c r="MZ88" s="13"/>
      <c r="NA88" s="13"/>
      <c r="NB88" s="13"/>
      <c r="NC88" s="13"/>
      <c r="ND88" s="13"/>
      <c r="NE88" s="13"/>
      <c r="NF88" s="13"/>
      <c r="NG88" s="13"/>
      <c r="NH88" s="13"/>
      <c r="NI88" s="13"/>
      <c r="NJ88" s="13"/>
      <c r="NK88" s="13"/>
      <c r="NL88" s="13"/>
      <c r="NM88" s="13"/>
      <c r="NN88" s="13"/>
      <c r="NO88" s="13"/>
      <c r="NP88" s="13"/>
      <c r="NQ88" s="13"/>
      <c r="NR88" s="13"/>
      <c r="NS88" s="13"/>
      <c r="NT88" s="13"/>
      <c r="NU88" s="13"/>
      <c r="NV88" s="13"/>
      <c r="NW88" s="13"/>
      <c r="NX88" s="13"/>
      <c r="NY88" s="13"/>
      <c r="NZ88" s="13"/>
      <c r="OA88" s="13"/>
      <c r="OB88" s="13"/>
      <c r="OC88" s="13"/>
      <c r="OD88" s="13"/>
      <c r="OE88" s="13"/>
      <c r="OF88" s="13"/>
      <c r="OG88" s="13"/>
      <c r="OH88" s="13"/>
      <c r="OI88" s="13"/>
      <c r="OJ88" s="13"/>
      <c r="OK88" s="13"/>
      <c r="OL88" s="13"/>
      <c r="OM88" s="13"/>
      <c r="ON88" s="13"/>
      <c r="OO88" s="13"/>
      <c r="OP88" s="13"/>
      <c r="OQ88" s="13"/>
      <c r="OR88" s="13"/>
      <c r="OS88" s="13"/>
      <c r="OT88" s="13"/>
      <c r="OU88" s="13"/>
      <c r="OV88" s="13"/>
      <c r="OW88" s="13"/>
      <c r="OX88" s="13"/>
      <c r="OY88" s="13"/>
      <c r="OZ88" s="13"/>
      <c r="PA88" s="13"/>
      <c r="PB88" s="13"/>
      <c r="PC88" s="13"/>
      <c r="PD88" s="13"/>
      <c r="PE88" s="13"/>
      <c r="PF88" s="13"/>
      <c r="PG88" s="13"/>
      <c r="PH88" s="13"/>
      <c r="PI88" s="13"/>
      <c r="PJ88" s="13"/>
      <c r="PK88" s="13"/>
      <c r="PL88" s="13"/>
      <c r="PM88" s="13"/>
      <c r="PN88" s="13"/>
      <c r="PO88" s="13"/>
      <c r="PP88" s="13"/>
      <c r="PQ88" s="13"/>
      <c r="PR88" s="13"/>
      <c r="PS88" s="13"/>
      <c r="PT88" s="13"/>
      <c r="PU88" s="13"/>
      <c r="PV88" s="13"/>
      <c r="PW88" s="13"/>
    </row>
    <row r="89" spans="1:439" s="14" customFormat="1" x14ac:dyDescent="0.2">
      <c r="A89" s="88" t="s">
        <v>113</v>
      </c>
      <c r="B89" s="10" t="s">
        <v>424</v>
      </c>
      <c r="C89" s="15" t="s">
        <v>449</v>
      </c>
      <c r="D89" s="20" t="s">
        <v>324</v>
      </c>
      <c r="E89" s="102">
        <f>0.5*12</f>
        <v>6</v>
      </c>
      <c r="F89" s="65"/>
      <c r="G89" s="65">
        <v>59</v>
      </c>
      <c r="H89" s="63">
        <f t="shared" si="56"/>
        <v>59</v>
      </c>
      <c r="I89" s="63">
        <f t="shared" si="57"/>
        <v>354</v>
      </c>
      <c r="J89" s="12">
        <f t="shared" si="0"/>
        <v>0.25</v>
      </c>
      <c r="K89" s="63">
        <f t="shared" si="58"/>
        <v>442.5</v>
      </c>
      <c r="L89" s="19">
        <f t="shared" si="49"/>
        <v>7.3794105933838402E-4</v>
      </c>
      <c r="M89" s="80"/>
      <c r="N89" s="80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  <c r="IW89" s="13"/>
      <c r="IX89" s="13"/>
      <c r="IY89" s="13"/>
      <c r="IZ89" s="13"/>
      <c r="JA89" s="13"/>
      <c r="JB89" s="13"/>
      <c r="JC89" s="13"/>
      <c r="JD89" s="13"/>
      <c r="JE89" s="13"/>
      <c r="JF89" s="13"/>
      <c r="JG89" s="13"/>
      <c r="JH89" s="13"/>
      <c r="JI89" s="13"/>
      <c r="JJ89" s="13"/>
      <c r="JK89" s="13"/>
      <c r="JL89" s="13"/>
      <c r="JM89" s="13"/>
      <c r="JN89" s="13"/>
      <c r="JO89" s="13"/>
      <c r="JP89" s="13"/>
      <c r="JQ89" s="13"/>
      <c r="JR89" s="13"/>
      <c r="JS89" s="13"/>
      <c r="JT89" s="13"/>
      <c r="JU89" s="13"/>
      <c r="JV89" s="13"/>
      <c r="JW89" s="13"/>
      <c r="JX89" s="13"/>
      <c r="JY89" s="13"/>
      <c r="JZ89" s="13"/>
      <c r="KA89" s="13"/>
      <c r="KB89" s="13"/>
      <c r="KC89" s="13"/>
      <c r="KD89" s="13"/>
      <c r="KE89" s="13"/>
      <c r="KF89" s="13"/>
      <c r="KG89" s="13"/>
      <c r="KH89" s="13"/>
      <c r="KI89" s="13"/>
      <c r="KJ89" s="13"/>
      <c r="KK89" s="13"/>
      <c r="KL89" s="13"/>
      <c r="KM89" s="13"/>
      <c r="KN89" s="13"/>
      <c r="KO89" s="13"/>
      <c r="KP89" s="13"/>
      <c r="KQ89" s="13"/>
      <c r="KR89" s="13"/>
      <c r="KS89" s="13"/>
      <c r="KT89" s="13"/>
      <c r="KU89" s="13"/>
      <c r="KV89" s="13"/>
      <c r="KW89" s="13"/>
      <c r="KX89" s="13"/>
      <c r="KY89" s="13"/>
      <c r="KZ89" s="13"/>
      <c r="LA89" s="13"/>
      <c r="LB89" s="13"/>
      <c r="LC89" s="13"/>
      <c r="LD89" s="13"/>
      <c r="LE89" s="13"/>
      <c r="LF89" s="13"/>
      <c r="LG89" s="13"/>
      <c r="LH89" s="13"/>
      <c r="LI89" s="13"/>
      <c r="LJ89" s="13"/>
      <c r="LK89" s="13"/>
      <c r="LL89" s="13"/>
      <c r="LM89" s="13"/>
      <c r="LN89" s="13"/>
      <c r="LO89" s="13"/>
      <c r="LP89" s="13"/>
      <c r="LQ89" s="13"/>
      <c r="LR89" s="13"/>
      <c r="LS89" s="13"/>
      <c r="LT89" s="13"/>
      <c r="LU89" s="13"/>
      <c r="LV89" s="13"/>
      <c r="LW89" s="13"/>
      <c r="LX89" s="13"/>
      <c r="LY89" s="13"/>
      <c r="LZ89" s="13"/>
      <c r="MA89" s="13"/>
      <c r="MB89" s="13"/>
      <c r="MC89" s="13"/>
      <c r="MD89" s="13"/>
      <c r="ME89" s="13"/>
      <c r="MF89" s="13"/>
      <c r="MG89" s="13"/>
      <c r="MH89" s="13"/>
      <c r="MI89" s="13"/>
      <c r="MJ89" s="13"/>
      <c r="MK89" s="13"/>
      <c r="ML89" s="13"/>
      <c r="MM89" s="13"/>
      <c r="MN89" s="13"/>
      <c r="MO89" s="13"/>
      <c r="MP89" s="13"/>
      <c r="MQ89" s="13"/>
      <c r="MR89" s="13"/>
      <c r="MS89" s="13"/>
      <c r="MT89" s="13"/>
      <c r="MU89" s="13"/>
      <c r="MV89" s="13"/>
      <c r="MW89" s="13"/>
      <c r="MX89" s="13"/>
      <c r="MY89" s="13"/>
      <c r="MZ89" s="13"/>
      <c r="NA89" s="13"/>
      <c r="NB89" s="13"/>
      <c r="NC89" s="13"/>
      <c r="ND89" s="13"/>
      <c r="NE89" s="13"/>
      <c r="NF89" s="13"/>
      <c r="NG89" s="13"/>
      <c r="NH89" s="13"/>
      <c r="NI89" s="13"/>
      <c r="NJ89" s="13"/>
      <c r="NK89" s="13"/>
      <c r="NL89" s="13"/>
      <c r="NM89" s="13"/>
      <c r="NN89" s="13"/>
      <c r="NO89" s="13"/>
      <c r="NP89" s="13"/>
      <c r="NQ89" s="13"/>
      <c r="NR89" s="13"/>
      <c r="NS89" s="13"/>
      <c r="NT89" s="13"/>
      <c r="NU89" s="13"/>
      <c r="NV89" s="13"/>
      <c r="NW89" s="13"/>
      <c r="NX89" s="13"/>
      <c r="NY89" s="13"/>
      <c r="NZ89" s="13"/>
      <c r="OA89" s="13"/>
      <c r="OB89" s="13"/>
      <c r="OC89" s="13"/>
      <c r="OD89" s="13"/>
      <c r="OE89" s="13"/>
      <c r="OF89" s="13"/>
      <c r="OG89" s="13"/>
      <c r="OH89" s="13"/>
      <c r="OI89" s="13"/>
      <c r="OJ89" s="13"/>
      <c r="OK89" s="13"/>
      <c r="OL89" s="13"/>
      <c r="OM89" s="13"/>
      <c r="ON89" s="13"/>
      <c r="OO89" s="13"/>
      <c r="OP89" s="13"/>
      <c r="OQ89" s="13"/>
      <c r="OR89" s="13"/>
      <c r="OS89" s="13"/>
      <c r="OT89" s="13"/>
      <c r="OU89" s="13"/>
      <c r="OV89" s="13"/>
      <c r="OW89" s="13"/>
      <c r="OX89" s="13"/>
      <c r="OY89" s="13"/>
      <c r="OZ89" s="13"/>
      <c r="PA89" s="13"/>
      <c r="PB89" s="13"/>
      <c r="PC89" s="13"/>
      <c r="PD89" s="13"/>
      <c r="PE89" s="13"/>
      <c r="PF89" s="13"/>
      <c r="PG89" s="13"/>
      <c r="PH89" s="13"/>
      <c r="PI89" s="13"/>
      <c r="PJ89" s="13"/>
      <c r="PK89" s="13"/>
      <c r="PL89" s="13"/>
      <c r="PM89" s="13"/>
      <c r="PN89" s="13"/>
      <c r="PO89" s="13"/>
      <c r="PP89" s="13"/>
      <c r="PQ89" s="13"/>
      <c r="PR89" s="13"/>
      <c r="PS89" s="13"/>
      <c r="PT89" s="13"/>
      <c r="PU89" s="13"/>
      <c r="PV89" s="13"/>
      <c r="PW89" s="13"/>
    </row>
    <row r="90" spans="1:439" x14ac:dyDescent="0.2">
      <c r="A90" s="88" t="s">
        <v>114</v>
      </c>
      <c r="B90" s="10" t="s">
        <v>409</v>
      </c>
      <c r="C90" s="15" t="s">
        <v>450</v>
      </c>
      <c r="D90" s="20" t="s">
        <v>324</v>
      </c>
      <c r="E90" s="102">
        <v>25</v>
      </c>
      <c r="F90" s="65"/>
      <c r="G90" s="65">
        <v>59</v>
      </c>
      <c r="H90" s="63">
        <f t="shared" si="56"/>
        <v>59</v>
      </c>
      <c r="I90" s="63">
        <f t="shared" si="57"/>
        <v>1475</v>
      </c>
      <c r="J90" s="12">
        <f t="shared" si="0"/>
        <v>0.25</v>
      </c>
      <c r="K90" s="63">
        <f t="shared" si="58"/>
        <v>1843.75</v>
      </c>
      <c r="L90" s="19">
        <f t="shared" si="49"/>
        <v>3.0747544139099335E-3</v>
      </c>
      <c r="M90" s="137"/>
      <c r="N90" s="137"/>
    </row>
    <row r="91" spans="1:439" x14ac:dyDescent="0.2">
      <c r="A91" s="88" t="s">
        <v>115</v>
      </c>
      <c r="B91" s="10" t="s">
        <v>409</v>
      </c>
      <c r="C91" s="15" t="s">
        <v>451</v>
      </c>
      <c r="D91" s="20" t="s">
        <v>324</v>
      </c>
      <c r="E91" s="102">
        <v>15</v>
      </c>
      <c r="F91" s="65"/>
      <c r="G91" s="65">
        <v>59</v>
      </c>
      <c r="H91" s="63">
        <f t="shared" si="56"/>
        <v>59</v>
      </c>
      <c r="I91" s="63">
        <f t="shared" si="57"/>
        <v>885</v>
      </c>
      <c r="J91" s="12">
        <f t="shared" si="0"/>
        <v>0.25</v>
      </c>
      <c r="K91" s="63">
        <f t="shared" si="58"/>
        <v>1106.25</v>
      </c>
      <c r="L91" s="19">
        <f t="shared" si="49"/>
        <v>1.8448526483459599E-3</v>
      </c>
      <c r="M91" s="137"/>
      <c r="N91" s="137"/>
    </row>
    <row r="92" spans="1:439" x14ac:dyDescent="0.2">
      <c r="A92" s="88" t="s">
        <v>116</v>
      </c>
      <c r="B92" s="10" t="s">
        <v>409</v>
      </c>
      <c r="C92" s="15" t="s">
        <v>452</v>
      </c>
      <c r="D92" s="20" t="s">
        <v>324</v>
      </c>
      <c r="E92" s="102">
        <v>5</v>
      </c>
      <c r="F92" s="65"/>
      <c r="G92" s="65">
        <v>59</v>
      </c>
      <c r="H92" s="63">
        <f t="shared" si="56"/>
        <v>59</v>
      </c>
      <c r="I92" s="63">
        <f t="shared" si="57"/>
        <v>295</v>
      </c>
      <c r="J92" s="12">
        <f t="shared" si="0"/>
        <v>0.25</v>
      </c>
      <c r="K92" s="63">
        <f t="shared" si="58"/>
        <v>368.75</v>
      </c>
      <c r="L92" s="19">
        <f t="shared" si="49"/>
        <v>6.1495088278198668E-4</v>
      </c>
      <c r="M92" s="137"/>
      <c r="N92" s="137"/>
    </row>
    <row r="93" spans="1:439" x14ac:dyDescent="0.2">
      <c r="A93" s="88" t="s">
        <v>117</v>
      </c>
      <c r="B93" s="10" t="s">
        <v>409</v>
      </c>
      <c r="C93" s="15" t="s">
        <v>453</v>
      </c>
      <c r="D93" s="20" t="s">
        <v>324</v>
      </c>
      <c r="E93" s="102">
        <v>5</v>
      </c>
      <c r="F93" s="65"/>
      <c r="G93" s="65">
        <v>59</v>
      </c>
      <c r="H93" s="63">
        <f t="shared" si="56"/>
        <v>59</v>
      </c>
      <c r="I93" s="63">
        <f t="shared" si="57"/>
        <v>295</v>
      </c>
      <c r="J93" s="12">
        <f t="shared" si="0"/>
        <v>0.25</v>
      </c>
      <c r="K93" s="63">
        <f t="shared" si="58"/>
        <v>368.75</v>
      </c>
      <c r="L93" s="19">
        <f t="shared" si="49"/>
        <v>6.1495088278198668E-4</v>
      </c>
      <c r="M93" s="137"/>
      <c r="N93" s="137"/>
    </row>
    <row r="94" spans="1:439" x14ac:dyDescent="0.2">
      <c r="A94" s="88" t="s">
        <v>118</v>
      </c>
      <c r="B94" s="10" t="s">
        <v>409</v>
      </c>
      <c r="C94" s="15" t="s">
        <v>454</v>
      </c>
      <c r="D94" s="20" t="s">
        <v>324</v>
      </c>
      <c r="E94" s="102">
        <v>5</v>
      </c>
      <c r="F94" s="65"/>
      <c r="G94" s="65">
        <v>59</v>
      </c>
      <c r="H94" s="63">
        <f t="shared" si="56"/>
        <v>59</v>
      </c>
      <c r="I94" s="63">
        <f t="shared" si="57"/>
        <v>295</v>
      </c>
      <c r="J94" s="12">
        <f t="shared" si="0"/>
        <v>0.25</v>
      </c>
      <c r="K94" s="63">
        <f t="shared" si="58"/>
        <v>368.75</v>
      </c>
      <c r="L94" s="19">
        <f t="shared" si="49"/>
        <v>6.1495088278198668E-4</v>
      </c>
      <c r="M94" s="137"/>
      <c r="N94" s="137"/>
    </row>
    <row r="95" spans="1:439" ht="25.5" x14ac:dyDescent="0.2">
      <c r="A95" s="88" t="s">
        <v>119</v>
      </c>
      <c r="B95" s="15" t="s">
        <v>404</v>
      </c>
      <c r="C95" s="15" t="s">
        <v>455</v>
      </c>
      <c r="D95" s="20" t="s">
        <v>1</v>
      </c>
      <c r="E95" s="102">
        <v>13</v>
      </c>
      <c r="F95" s="65"/>
      <c r="G95" s="65">
        <v>59</v>
      </c>
      <c r="H95" s="63">
        <f t="shared" ref="H95:H109" si="59">F95+G95</f>
        <v>59</v>
      </c>
      <c r="I95" s="63">
        <f t="shared" ref="I95:I109" si="60">E95*H95</f>
        <v>767</v>
      </c>
      <c r="J95" s="12">
        <f t="shared" si="0"/>
        <v>0.25</v>
      </c>
      <c r="K95" s="63">
        <f t="shared" ref="K95:K109" si="61">I95*(1+J95)</f>
        <v>958.75</v>
      </c>
      <c r="L95" s="19">
        <f t="shared" si="49"/>
        <v>1.5988722952331653E-3</v>
      </c>
      <c r="M95" s="137"/>
      <c r="N95" s="137"/>
    </row>
    <row r="96" spans="1:439" s="14" customFormat="1" x14ac:dyDescent="0.2">
      <c r="A96" s="88" t="s">
        <v>120</v>
      </c>
      <c r="B96" s="10" t="s">
        <v>349</v>
      </c>
      <c r="C96" s="15" t="s">
        <v>421</v>
      </c>
      <c r="D96" s="20" t="s">
        <v>324</v>
      </c>
      <c r="E96" s="102">
        <f>1.2*15</f>
        <v>18</v>
      </c>
      <c r="F96" s="65"/>
      <c r="G96" s="65">
        <v>59</v>
      </c>
      <c r="H96" s="63">
        <f t="shared" si="59"/>
        <v>59</v>
      </c>
      <c r="I96" s="63">
        <f t="shared" si="60"/>
        <v>1062</v>
      </c>
      <c r="J96" s="12">
        <f t="shared" si="0"/>
        <v>0.25</v>
      </c>
      <c r="K96" s="63">
        <f t="shared" si="61"/>
        <v>1327.5</v>
      </c>
      <c r="L96" s="19">
        <f t="shared" si="49"/>
        <v>2.2138231780151518E-3</v>
      </c>
      <c r="M96" s="80"/>
      <c r="N96" s="80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  <c r="IT96" s="13"/>
      <c r="IU96" s="13"/>
      <c r="IV96" s="13"/>
      <c r="IW96" s="13"/>
      <c r="IX96" s="13"/>
      <c r="IY96" s="13"/>
      <c r="IZ96" s="13"/>
      <c r="JA96" s="13"/>
      <c r="JB96" s="13"/>
      <c r="JC96" s="13"/>
      <c r="JD96" s="13"/>
      <c r="JE96" s="13"/>
      <c r="JF96" s="13"/>
      <c r="JG96" s="13"/>
      <c r="JH96" s="13"/>
      <c r="JI96" s="13"/>
      <c r="JJ96" s="13"/>
      <c r="JK96" s="13"/>
      <c r="JL96" s="13"/>
      <c r="JM96" s="13"/>
      <c r="JN96" s="13"/>
      <c r="JO96" s="13"/>
      <c r="JP96" s="13"/>
      <c r="JQ96" s="13"/>
      <c r="JR96" s="13"/>
      <c r="JS96" s="13"/>
      <c r="JT96" s="13"/>
      <c r="JU96" s="13"/>
      <c r="JV96" s="13"/>
      <c r="JW96" s="13"/>
      <c r="JX96" s="13"/>
      <c r="JY96" s="13"/>
      <c r="JZ96" s="13"/>
      <c r="KA96" s="13"/>
      <c r="KB96" s="13"/>
      <c r="KC96" s="13"/>
      <c r="KD96" s="13"/>
      <c r="KE96" s="13"/>
      <c r="KF96" s="13"/>
      <c r="KG96" s="13"/>
      <c r="KH96" s="13"/>
      <c r="KI96" s="13"/>
      <c r="KJ96" s="13"/>
      <c r="KK96" s="13"/>
      <c r="KL96" s="13"/>
      <c r="KM96" s="13"/>
      <c r="KN96" s="13"/>
      <c r="KO96" s="13"/>
      <c r="KP96" s="13"/>
      <c r="KQ96" s="13"/>
      <c r="KR96" s="13"/>
      <c r="KS96" s="13"/>
      <c r="KT96" s="13"/>
      <c r="KU96" s="13"/>
      <c r="KV96" s="13"/>
      <c r="KW96" s="13"/>
      <c r="KX96" s="13"/>
      <c r="KY96" s="13"/>
      <c r="KZ96" s="13"/>
      <c r="LA96" s="13"/>
      <c r="LB96" s="13"/>
      <c r="LC96" s="13"/>
      <c r="LD96" s="13"/>
      <c r="LE96" s="13"/>
      <c r="LF96" s="13"/>
      <c r="LG96" s="13"/>
      <c r="LH96" s="13"/>
      <c r="LI96" s="13"/>
      <c r="LJ96" s="13"/>
      <c r="LK96" s="13"/>
      <c r="LL96" s="13"/>
      <c r="LM96" s="13"/>
      <c r="LN96" s="13"/>
      <c r="LO96" s="13"/>
      <c r="LP96" s="13"/>
      <c r="LQ96" s="13"/>
      <c r="LR96" s="13"/>
      <c r="LS96" s="13"/>
      <c r="LT96" s="13"/>
      <c r="LU96" s="13"/>
      <c r="LV96" s="13"/>
      <c r="LW96" s="13"/>
      <c r="LX96" s="13"/>
      <c r="LY96" s="13"/>
      <c r="LZ96" s="13"/>
      <c r="MA96" s="13"/>
      <c r="MB96" s="13"/>
      <c r="MC96" s="13"/>
      <c r="MD96" s="13"/>
      <c r="ME96" s="13"/>
      <c r="MF96" s="13"/>
      <c r="MG96" s="13"/>
      <c r="MH96" s="13"/>
      <c r="MI96" s="13"/>
      <c r="MJ96" s="13"/>
      <c r="MK96" s="13"/>
      <c r="ML96" s="13"/>
      <c r="MM96" s="13"/>
      <c r="MN96" s="13"/>
      <c r="MO96" s="13"/>
      <c r="MP96" s="13"/>
      <c r="MQ96" s="13"/>
      <c r="MR96" s="13"/>
      <c r="MS96" s="13"/>
      <c r="MT96" s="13"/>
      <c r="MU96" s="13"/>
      <c r="MV96" s="13"/>
      <c r="MW96" s="13"/>
      <c r="MX96" s="13"/>
      <c r="MY96" s="13"/>
      <c r="MZ96" s="13"/>
      <c r="NA96" s="13"/>
      <c r="NB96" s="13"/>
      <c r="NC96" s="13"/>
      <c r="ND96" s="13"/>
      <c r="NE96" s="13"/>
      <c r="NF96" s="13"/>
      <c r="NG96" s="13"/>
      <c r="NH96" s="13"/>
      <c r="NI96" s="13"/>
      <c r="NJ96" s="13"/>
      <c r="NK96" s="13"/>
      <c r="NL96" s="13"/>
      <c r="NM96" s="13"/>
      <c r="NN96" s="13"/>
      <c r="NO96" s="13"/>
      <c r="NP96" s="13"/>
      <c r="NQ96" s="13"/>
      <c r="NR96" s="13"/>
      <c r="NS96" s="13"/>
      <c r="NT96" s="13"/>
      <c r="NU96" s="13"/>
      <c r="NV96" s="13"/>
      <c r="NW96" s="13"/>
      <c r="NX96" s="13"/>
      <c r="NY96" s="13"/>
      <c r="NZ96" s="13"/>
      <c r="OA96" s="13"/>
      <c r="OB96" s="13"/>
      <c r="OC96" s="13"/>
      <c r="OD96" s="13"/>
      <c r="OE96" s="13"/>
      <c r="OF96" s="13"/>
      <c r="OG96" s="13"/>
      <c r="OH96" s="13"/>
      <c r="OI96" s="13"/>
      <c r="OJ96" s="13"/>
      <c r="OK96" s="13"/>
      <c r="OL96" s="13"/>
      <c r="OM96" s="13"/>
      <c r="ON96" s="13"/>
      <c r="OO96" s="13"/>
      <c r="OP96" s="13"/>
      <c r="OQ96" s="13"/>
      <c r="OR96" s="13"/>
      <c r="OS96" s="13"/>
      <c r="OT96" s="13"/>
      <c r="OU96" s="13"/>
      <c r="OV96" s="13"/>
      <c r="OW96" s="13"/>
      <c r="OX96" s="13"/>
      <c r="OY96" s="13"/>
      <c r="OZ96" s="13"/>
      <c r="PA96" s="13"/>
      <c r="PB96" s="13"/>
      <c r="PC96" s="13"/>
      <c r="PD96" s="13"/>
      <c r="PE96" s="13"/>
      <c r="PF96" s="13"/>
      <c r="PG96" s="13"/>
      <c r="PH96" s="13"/>
      <c r="PI96" s="13"/>
      <c r="PJ96" s="13"/>
      <c r="PK96" s="13"/>
      <c r="PL96" s="13"/>
      <c r="PM96" s="13"/>
      <c r="PN96" s="13"/>
      <c r="PO96" s="13"/>
      <c r="PP96" s="13"/>
      <c r="PQ96" s="13"/>
      <c r="PR96" s="13"/>
      <c r="PS96" s="13"/>
      <c r="PT96" s="13"/>
      <c r="PU96" s="13"/>
      <c r="PV96" s="13"/>
      <c r="PW96" s="13"/>
    </row>
    <row r="97" spans="1:439" s="14" customFormat="1" x14ac:dyDescent="0.2">
      <c r="A97" s="88" t="s">
        <v>121</v>
      </c>
      <c r="B97" s="10" t="s">
        <v>350</v>
      </c>
      <c r="C97" s="15" t="s">
        <v>416</v>
      </c>
      <c r="D97" s="20" t="s">
        <v>324</v>
      </c>
      <c r="E97" s="102">
        <f>54*0.4</f>
        <v>21.6</v>
      </c>
      <c r="F97" s="65"/>
      <c r="G97" s="65">
        <v>59</v>
      </c>
      <c r="H97" s="63">
        <f t="shared" si="59"/>
        <v>59</v>
      </c>
      <c r="I97" s="63">
        <f t="shared" si="60"/>
        <v>1274.4000000000001</v>
      </c>
      <c r="J97" s="12">
        <f t="shared" si="0"/>
        <v>0.25</v>
      </c>
      <c r="K97" s="63">
        <f t="shared" si="61"/>
        <v>1593</v>
      </c>
      <c r="L97" s="19">
        <f t="shared" si="49"/>
        <v>2.6565878136181826E-3</v>
      </c>
      <c r="M97" s="80"/>
      <c r="N97" s="80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  <c r="IQ97" s="13"/>
      <c r="IR97" s="13"/>
      <c r="IS97" s="13"/>
      <c r="IT97" s="13"/>
      <c r="IU97" s="13"/>
      <c r="IV97" s="13"/>
      <c r="IW97" s="13"/>
      <c r="IX97" s="13"/>
      <c r="IY97" s="13"/>
      <c r="IZ97" s="13"/>
      <c r="JA97" s="13"/>
      <c r="JB97" s="13"/>
      <c r="JC97" s="13"/>
      <c r="JD97" s="13"/>
      <c r="JE97" s="13"/>
      <c r="JF97" s="13"/>
      <c r="JG97" s="13"/>
      <c r="JH97" s="13"/>
      <c r="JI97" s="13"/>
      <c r="JJ97" s="13"/>
      <c r="JK97" s="13"/>
      <c r="JL97" s="13"/>
      <c r="JM97" s="13"/>
      <c r="JN97" s="13"/>
      <c r="JO97" s="13"/>
      <c r="JP97" s="13"/>
      <c r="JQ97" s="13"/>
      <c r="JR97" s="13"/>
      <c r="JS97" s="13"/>
      <c r="JT97" s="13"/>
      <c r="JU97" s="13"/>
      <c r="JV97" s="13"/>
      <c r="JW97" s="13"/>
      <c r="JX97" s="13"/>
      <c r="JY97" s="13"/>
      <c r="JZ97" s="13"/>
      <c r="KA97" s="13"/>
      <c r="KB97" s="13"/>
      <c r="KC97" s="13"/>
      <c r="KD97" s="13"/>
      <c r="KE97" s="13"/>
      <c r="KF97" s="13"/>
      <c r="KG97" s="13"/>
      <c r="KH97" s="13"/>
      <c r="KI97" s="13"/>
      <c r="KJ97" s="13"/>
      <c r="KK97" s="13"/>
      <c r="KL97" s="13"/>
      <c r="KM97" s="13"/>
      <c r="KN97" s="13"/>
      <c r="KO97" s="13"/>
      <c r="KP97" s="13"/>
      <c r="KQ97" s="13"/>
      <c r="KR97" s="13"/>
      <c r="KS97" s="13"/>
      <c r="KT97" s="13"/>
      <c r="KU97" s="13"/>
      <c r="KV97" s="13"/>
      <c r="KW97" s="13"/>
      <c r="KX97" s="13"/>
      <c r="KY97" s="13"/>
      <c r="KZ97" s="13"/>
      <c r="LA97" s="13"/>
      <c r="LB97" s="13"/>
      <c r="LC97" s="13"/>
      <c r="LD97" s="13"/>
      <c r="LE97" s="13"/>
      <c r="LF97" s="13"/>
      <c r="LG97" s="13"/>
      <c r="LH97" s="13"/>
      <c r="LI97" s="13"/>
      <c r="LJ97" s="13"/>
      <c r="LK97" s="13"/>
      <c r="LL97" s="13"/>
      <c r="LM97" s="13"/>
      <c r="LN97" s="13"/>
      <c r="LO97" s="13"/>
      <c r="LP97" s="13"/>
      <c r="LQ97" s="13"/>
      <c r="LR97" s="13"/>
      <c r="LS97" s="13"/>
      <c r="LT97" s="13"/>
      <c r="LU97" s="13"/>
      <c r="LV97" s="13"/>
      <c r="LW97" s="13"/>
      <c r="LX97" s="13"/>
      <c r="LY97" s="13"/>
      <c r="LZ97" s="13"/>
      <c r="MA97" s="13"/>
      <c r="MB97" s="13"/>
      <c r="MC97" s="13"/>
      <c r="MD97" s="13"/>
      <c r="ME97" s="13"/>
      <c r="MF97" s="13"/>
      <c r="MG97" s="13"/>
      <c r="MH97" s="13"/>
      <c r="MI97" s="13"/>
      <c r="MJ97" s="13"/>
      <c r="MK97" s="13"/>
      <c r="ML97" s="13"/>
      <c r="MM97" s="13"/>
      <c r="MN97" s="13"/>
      <c r="MO97" s="13"/>
      <c r="MP97" s="13"/>
      <c r="MQ97" s="13"/>
      <c r="MR97" s="13"/>
      <c r="MS97" s="13"/>
      <c r="MT97" s="13"/>
      <c r="MU97" s="13"/>
      <c r="MV97" s="13"/>
      <c r="MW97" s="13"/>
      <c r="MX97" s="13"/>
      <c r="MY97" s="13"/>
      <c r="MZ97" s="13"/>
      <c r="NA97" s="13"/>
      <c r="NB97" s="13"/>
      <c r="NC97" s="13"/>
      <c r="ND97" s="13"/>
      <c r="NE97" s="13"/>
      <c r="NF97" s="13"/>
      <c r="NG97" s="13"/>
      <c r="NH97" s="13"/>
      <c r="NI97" s="13"/>
      <c r="NJ97" s="13"/>
      <c r="NK97" s="13"/>
      <c r="NL97" s="13"/>
      <c r="NM97" s="13"/>
      <c r="NN97" s="13"/>
      <c r="NO97" s="13"/>
      <c r="NP97" s="13"/>
      <c r="NQ97" s="13"/>
      <c r="NR97" s="13"/>
      <c r="NS97" s="13"/>
      <c r="NT97" s="13"/>
      <c r="NU97" s="13"/>
      <c r="NV97" s="13"/>
      <c r="NW97" s="13"/>
      <c r="NX97" s="13"/>
      <c r="NY97" s="13"/>
      <c r="NZ97" s="13"/>
      <c r="OA97" s="13"/>
      <c r="OB97" s="13"/>
      <c r="OC97" s="13"/>
      <c r="OD97" s="13"/>
      <c r="OE97" s="13"/>
      <c r="OF97" s="13"/>
      <c r="OG97" s="13"/>
      <c r="OH97" s="13"/>
      <c r="OI97" s="13"/>
      <c r="OJ97" s="13"/>
      <c r="OK97" s="13"/>
      <c r="OL97" s="13"/>
      <c r="OM97" s="13"/>
      <c r="ON97" s="13"/>
      <c r="OO97" s="13"/>
      <c r="OP97" s="13"/>
      <c r="OQ97" s="13"/>
      <c r="OR97" s="13"/>
      <c r="OS97" s="13"/>
      <c r="OT97" s="13"/>
      <c r="OU97" s="13"/>
      <c r="OV97" s="13"/>
      <c r="OW97" s="13"/>
      <c r="OX97" s="13"/>
      <c r="OY97" s="13"/>
      <c r="OZ97" s="13"/>
      <c r="PA97" s="13"/>
      <c r="PB97" s="13"/>
      <c r="PC97" s="13"/>
      <c r="PD97" s="13"/>
      <c r="PE97" s="13"/>
      <c r="PF97" s="13"/>
      <c r="PG97" s="13"/>
      <c r="PH97" s="13"/>
      <c r="PI97" s="13"/>
      <c r="PJ97" s="13"/>
      <c r="PK97" s="13"/>
      <c r="PL97" s="13"/>
      <c r="PM97" s="13"/>
      <c r="PN97" s="13"/>
      <c r="PO97" s="13"/>
      <c r="PP97" s="13"/>
      <c r="PQ97" s="13"/>
      <c r="PR97" s="13"/>
      <c r="PS97" s="13"/>
      <c r="PT97" s="13"/>
      <c r="PU97" s="13"/>
      <c r="PV97" s="13"/>
      <c r="PW97" s="13"/>
    </row>
    <row r="98" spans="1:439" s="14" customFormat="1" x14ac:dyDescent="0.2">
      <c r="A98" s="88" t="s">
        <v>122</v>
      </c>
      <c r="B98" s="10" t="s">
        <v>456</v>
      </c>
      <c r="C98" s="15" t="s">
        <v>457</v>
      </c>
      <c r="D98" s="20" t="s">
        <v>324</v>
      </c>
      <c r="E98" s="102">
        <f>13*0.6</f>
        <v>7.8</v>
      </c>
      <c r="F98" s="65"/>
      <c r="G98" s="65">
        <v>59</v>
      </c>
      <c r="H98" s="63">
        <f t="shared" si="59"/>
        <v>59</v>
      </c>
      <c r="I98" s="63">
        <f t="shared" si="60"/>
        <v>460.2</v>
      </c>
      <c r="J98" s="12">
        <f t="shared" si="0"/>
        <v>0.25</v>
      </c>
      <c r="K98" s="63">
        <f t="shared" si="61"/>
        <v>575.25</v>
      </c>
      <c r="L98" s="19">
        <f t="shared" si="49"/>
        <v>9.5932337713989916E-4</v>
      </c>
      <c r="M98" s="80"/>
      <c r="N98" s="80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  <c r="IM98" s="13"/>
      <c r="IN98" s="13"/>
      <c r="IO98" s="13"/>
      <c r="IP98" s="13"/>
      <c r="IQ98" s="13"/>
      <c r="IR98" s="13"/>
      <c r="IS98" s="13"/>
      <c r="IT98" s="13"/>
      <c r="IU98" s="13"/>
      <c r="IV98" s="13"/>
      <c r="IW98" s="13"/>
      <c r="IX98" s="13"/>
      <c r="IY98" s="13"/>
      <c r="IZ98" s="13"/>
      <c r="JA98" s="13"/>
      <c r="JB98" s="13"/>
      <c r="JC98" s="13"/>
      <c r="JD98" s="13"/>
      <c r="JE98" s="13"/>
      <c r="JF98" s="13"/>
      <c r="JG98" s="13"/>
      <c r="JH98" s="13"/>
      <c r="JI98" s="13"/>
      <c r="JJ98" s="13"/>
      <c r="JK98" s="13"/>
      <c r="JL98" s="13"/>
      <c r="JM98" s="13"/>
      <c r="JN98" s="13"/>
      <c r="JO98" s="13"/>
      <c r="JP98" s="13"/>
      <c r="JQ98" s="13"/>
      <c r="JR98" s="13"/>
      <c r="JS98" s="13"/>
      <c r="JT98" s="13"/>
      <c r="JU98" s="13"/>
      <c r="JV98" s="13"/>
      <c r="JW98" s="13"/>
      <c r="JX98" s="13"/>
      <c r="JY98" s="13"/>
      <c r="JZ98" s="13"/>
      <c r="KA98" s="13"/>
      <c r="KB98" s="13"/>
      <c r="KC98" s="13"/>
      <c r="KD98" s="13"/>
      <c r="KE98" s="13"/>
      <c r="KF98" s="13"/>
      <c r="KG98" s="13"/>
      <c r="KH98" s="13"/>
      <c r="KI98" s="13"/>
      <c r="KJ98" s="13"/>
      <c r="KK98" s="13"/>
      <c r="KL98" s="13"/>
      <c r="KM98" s="13"/>
      <c r="KN98" s="13"/>
      <c r="KO98" s="13"/>
      <c r="KP98" s="13"/>
      <c r="KQ98" s="13"/>
      <c r="KR98" s="13"/>
      <c r="KS98" s="13"/>
      <c r="KT98" s="13"/>
      <c r="KU98" s="13"/>
      <c r="KV98" s="13"/>
      <c r="KW98" s="13"/>
      <c r="KX98" s="13"/>
      <c r="KY98" s="13"/>
      <c r="KZ98" s="13"/>
      <c r="LA98" s="13"/>
      <c r="LB98" s="13"/>
      <c r="LC98" s="13"/>
      <c r="LD98" s="13"/>
      <c r="LE98" s="13"/>
      <c r="LF98" s="13"/>
      <c r="LG98" s="13"/>
      <c r="LH98" s="13"/>
      <c r="LI98" s="13"/>
      <c r="LJ98" s="13"/>
      <c r="LK98" s="13"/>
      <c r="LL98" s="13"/>
      <c r="LM98" s="13"/>
      <c r="LN98" s="13"/>
      <c r="LO98" s="13"/>
      <c r="LP98" s="13"/>
      <c r="LQ98" s="13"/>
      <c r="LR98" s="13"/>
      <c r="LS98" s="13"/>
      <c r="LT98" s="13"/>
      <c r="LU98" s="13"/>
      <c r="LV98" s="13"/>
      <c r="LW98" s="13"/>
      <c r="LX98" s="13"/>
      <c r="LY98" s="13"/>
      <c r="LZ98" s="13"/>
      <c r="MA98" s="13"/>
      <c r="MB98" s="13"/>
      <c r="MC98" s="13"/>
      <c r="MD98" s="13"/>
      <c r="ME98" s="13"/>
      <c r="MF98" s="13"/>
      <c r="MG98" s="13"/>
      <c r="MH98" s="13"/>
      <c r="MI98" s="13"/>
      <c r="MJ98" s="13"/>
      <c r="MK98" s="13"/>
      <c r="ML98" s="13"/>
      <c r="MM98" s="13"/>
      <c r="MN98" s="13"/>
      <c r="MO98" s="13"/>
      <c r="MP98" s="13"/>
      <c r="MQ98" s="13"/>
      <c r="MR98" s="13"/>
      <c r="MS98" s="13"/>
      <c r="MT98" s="13"/>
      <c r="MU98" s="13"/>
      <c r="MV98" s="13"/>
      <c r="MW98" s="13"/>
      <c r="MX98" s="13"/>
      <c r="MY98" s="13"/>
      <c r="MZ98" s="13"/>
      <c r="NA98" s="13"/>
      <c r="NB98" s="13"/>
      <c r="NC98" s="13"/>
      <c r="ND98" s="13"/>
      <c r="NE98" s="13"/>
      <c r="NF98" s="13"/>
      <c r="NG98" s="13"/>
      <c r="NH98" s="13"/>
      <c r="NI98" s="13"/>
      <c r="NJ98" s="13"/>
      <c r="NK98" s="13"/>
      <c r="NL98" s="13"/>
      <c r="NM98" s="13"/>
      <c r="NN98" s="13"/>
      <c r="NO98" s="13"/>
      <c r="NP98" s="13"/>
      <c r="NQ98" s="13"/>
      <c r="NR98" s="13"/>
      <c r="NS98" s="13"/>
      <c r="NT98" s="13"/>
      <c r="NU98" s="13"/>
      <c r="NV98" s="13"/>
      <c r="NW98" s="13"/>
      <c r="NX98" s="13"/>
      <c r="NY98" s="13"/>
      <c r="NZ98" s="13"/>
      <c r="OA98" s="13"/>
      <c r="OB98" s="13"/>
      <c r="OC98" s="13"/>
      <c r="OD98" s="13"/>
      <c r="OE98" s="13"/>
      <c r="OF98" s="13"/>
      <c r="OG98" s="13"/>
      <c r="OH98" s="13"/>
      <c r="OI98" s="13"/>
      <c r="OJ98" s="13"/>
      <c r="OK98" s="13"/>
      <c r="OL98" s="13"/>
      <c r="OM98" s="13"/>
      <c r="ON98" s="13"/>
      <c r="OO98" s="13"/>
      <c r="OP98" s="13"/>
      <c r="OQ98" s="13"/>
      <c r="OR98" s="13"/>
      <c r="OS98" s="13"/>
      <c r="OT98" s="13"/>
      <c r="OU98" s="13"/>
      <c r="OV98" s="13"/>
      <c r="OW98" s="13"/>
      <c r="OX98" s="13"/>
      <c r="OY98" s="13"/>
      <c r="OZ98" s="13"/>
      <c r="PA98" s="13"/>
      <c r="PB98" s="13"/>
      <c r="PC98" s="13"/>
      <c r="PD98" s="13"/>
      <c r="PE98" s="13"/>
      <c r="PF98" s="13"/>
      <c r="PG98" s="13"/>
      <c r="PH98" s="13"/>
      <c r="PI98" s="13"/>
      <c r="PJ98" s="13"/>
      <c r="PK98" s="13"/>
      <c r="PL98" s="13"/>
      <c r="PM98" s="13"/>
      <c r="PN98" s="13"/>
      <c r="PO98" s="13"/>
      <c r="PP98" s="13"/>
      <c r="PQ98" s="13"/>
      <c r="PR98" s="13"/>
      <c r="PS98" s="13"/>
      <c r="PT98" s="13"/>
      <c r="PU98" s="13"/>
      <c r="PV98" s="13"/>
      <c r="PW98" s="13"/>
    </row>
    <row r="99" spans="1:439" s="14" customFormat="1" x14ac:dyDescent="0.2">
      <c r="A99" s="88" t="s">
        <v>123</v>
      </c>
      <c r="B99" s="10" t="s">
        <v>351</v>
      </c>
      <c r="C99" s="15" t="s">
        <v>415</v>
      </c>
      <c r="D99" s="20" t="s">
        <v>324</v>
      </c>
      <c r="E99" s="102">
        <f>1.45*9.2</f>
        <v>13.339999999999998</v>
      </c>
      <c r="F99" s="65"/>
      <c r="G99" s="65">
        <v>59</v>
      </c>
      <c r="H99" s="63">
        <f t="shared" si="59"/>
        <v>59</v>
      </c>
      <c r="I99" s="63">
        <f t="shared" si="60"/>
        <v>787.05999999999983</v>
      </c>
      <c r="J99" s="12">
        <f t="shared" si="0"/>
        <v>0.25</v>
      </c>
      <c r="K99" s="63">
        <f t="shared" si="61"/>
        <v>983.82499999999982</v>
      </c>
      <c r="L99" s="19">
        <f t="shared" si="49"/>
        <v>1.6406889552623401E-3</v>
      </c>
      <c r="M99" s="80"/>
      <c r="N99" s="80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  <c r="IO99" s="13"/>
      <c r="IP99" s="13"/>
      <c r="IQ99" s="13"/>
      <c r="IR99" s="13"/>
      <c r="IS99" s="13"/>
      <c r="IT99" s="13"/>
      <c r="IU99" s="13"/>
      <c r="IV99" s="13"/>
      <c r="IW99" s="13"/>
      <c r="IX99" s="13"/>
      <c r="IY99" s="13"/>
      <c r="IZ99" s="13"/>
      <c r="JA99" s="13"/>
      <c r="JB99" s="13"/>
      <c r="JC99" s="13"/>
      <c r="JD99" s="13"/>
      <c r="JE99" s="13"/>
      <c r="JF99" s="13"/>
      <c r="JG99" s="13"/>
      <c r="JH99" s="13"/>
      <c r="JI99" s="13"/>
      <c r="JJ99" s="13"/>
      <c r="JK99" s="13"/>
      <c r="JL99" s="13"/>
      <c r="JM99" s="13"/>
      <c r="JN99" s="13"/>
      <c r="JO99" s="13"/>
      <c r="JP99" s="13"/>
      <c r="JQ99" s="13"/>
      <c r="JR99" s="13"/>
      <c r="JS99" s="13"/>
      <c r="JT99" s="13"/>
      <c r="JU99" s="13"/>
      <c r="JV99" s="13"/>
      <c r="JW99" s="13"/>
      <c r="JX99" s="13"/>
      <c r="JY99" s="13"/>
      <c r="JZ99" s="13"/>
      <c r="KA99" s="13"/>
      <c r="KB99" s="13"/>
      <c r="KC99" s="13"/>
      <c r="KD99" s="13"/>
      <c r="KE99" s="13"/>
      <c r="KF99" s="13"/>
      <c r="KG99" s="13"/>
      <c r="KH99" s="13"/>
      <c r="KI99" s="13"/>
      <c r="KJ99" s="13"/>
      <c r="KK99" s="13"/>
      <c r="KL99" s="13"/>
      <c r="KM99" s="13"/>
      <c r="KN99" s="13"/>
      <c r="KO99" s="13"/>
      <c r="KP99" s="13"/>
      <c r="KQ99" s="13"/>
      <c r="KR99" s="13"/>
      <c r="KS99" s="13"/>
      <c r="KT99" s="13"/>
      <c r="KU99" s="13"/>
      <c r="KV99" s="13"/>
      <c r="KW99" s="13"/>
      <c r="KX99" s="13"/>
      <c r="KY99" s="13"/>
      <c r="KZ99" s="13"/>
      <c r="LA99" s="13"/>
      <c r="LB99" s="13"/>
      <c r="LC99" s="13"/>
      <c r="LD99" s="13"/>
      <c r="LE99" s="13"/>
      <c r="LF99" s="13"/>
      <c r="LG99" s="13"/>
      <c r="LH99" s="13"/>
      <c r="LI99" s="13"/>
      <c r="LJ99" s="13"/>
      <c r="LK99" s="13"/>
      <c r="LL99" s="13"/>
      <c r="LM99" s="13"/>
      <c r="LN99" s="13"/>
      <c r="LO99" s="13"/>
      <c r="LP99" s="13"/>
      <c r="LQ99" s="13"/>
      <c r="LR99" s="13"/>
      <c r="LS99" s="13"/>
      <c r="LT99" s="13"/>
      <c r="LU99" s="13"/>
      <c r="LV99" s="13"/>
      <c r="LW99" s="13"/>
      <c r="LX99" s="13"/>
      <c r="LY99" s="13"/>
      <c r="LZ99" s="13"/>
      <c r="MA99" s="13"/>
      <c r="MB99" s="13"/>
      <c r="MC99" s="13"/>
      <c r="MD99" s="13"/>
      <c r="ME99" s="13"/>
      <c r="MF99" s="13"/>
      <c r="MG99" s="13"/>
      <c r="MH99" s="13"/>
      <c r="MI99" s="13"/>
      <c r="MJ99" s="13"/>
      <c r="MK99" s="13"/>
      <c r="ML99" s="13"/>
      <c r="MM99" s="13"/>
      <c r="MN99" s="13"/>
      <c r="MO99" s="13"/>
      <c r="MP99" s="13"/>
      <c r="MQ99" s="13"/>
      <c r="MR99" s="13"/>
      <c r="MS99" s="13"/>
      <c r="MT99" s="13"/>
      <c r="MU99" s="13"/>
      <c r="MV99" s="13"/>
      <c r="MW99" s="13"/>
      <c r="MX99" s="13"/>
      <c r="MY99" s="13"/>
      <c r="MZ99" s="13"/>
      <c r="NA99" s="13"/>
      <c r="NB99" s="13"/>
      <c r="NC99" s="13"/>
      <c r="ND99" s="13"/>
      <c r="NE99" s="13"/>
      <c r="NF99" s="13"/>
      <c r="NG99" s="13"/>
      <c r="NH99" s="13"/>
      <c r="NI99" s="13"/>
      <c r="NJ99" s="13"/>
      <c r="NK99" s="13"/>
      <c r="NL99" s="13"/>
      <c r="NM99" s="13"/>
      <c r="NN99" s="13"/>
      <c r="NO99" s="13"/>
      <c r="NP99" s="13"/>
      <c r="NQ99" s="13"/>
      <c r="NR99" s="13"/>
      <c r="NS99" s="13"/>
      <c r="NT99" s="13"/>
      <c r="NU99" s="13"/>
      <c r="NV99" s="13"/>
      <c r="NW99" s="13"/>
      <c r="NX99" s="13"/>
      <c r="NY99" s="13"/>
      <c r="NZ99" s="13"/>
      <c r="OA99" s="13"/>
      <c r="OB99" s="13"/>
      <c r="OC99" s="13"/>
      <c r="OD99" s="13"/>
      <c r="OE99" s="13"/>
      <c r="OF99" s="13"/>
      <c r="OG99" s="13"/>
      <c r="OH99" s="13"/>
      <c r="OI99" s="13"/>
      <c r="OJ99" s="13"/>
      <c r="OK99" s="13"/>
      <c r="OL99" s="13"/>
      <c r="OM99" s="13"/>
      <c r="ON99" s="13"/>
      <c r="OO99" s="13"/>
      <c r="OP99" s="13"/>
      <c r="OQ99" s="13"/>
      <c r="OR99" s="13"/>
      <c r="OS99" s="13"/>
      <c r="OT99" s="13"/>
      <c r="OU99" s="13"/>
      <c r="OV99" s="13"/>
      <c r="OW99" s="13"/>
      <c r="OX99" s="13"/>
      <c r="OY99" s="13"/>
      <c r="OZ99" s="13"/>
      <c r="PA99" s="13"/>
      <c r="PB99" s="13"/>
      <c r="PC99" s="13"/>
      <c r="PD99" s="13"/>
      <c r="PE99" s="13"/>
      <c r="PF99" s="13"/>
      <c r="PG99" s="13"/>
      <c r="PH99" s="13"/>
      <c r="PI99" s="13"/>
      <c r="PJ99" s="13"/>
      <c r="PK99" s="13"/>
      <c r="PL99" s="13"/>
      <c r="PM99" s="13"/>
      <c r="PN99" s="13"/>
      <c r="PO99" s="13"/>
      <c r="PP99" s="13"/>
      <c r="PQ99" s="13"/>
      <c r="PR99" s="13"/>
      <c r="PS99" s="13"/>
      <c r="PT99" s="13"/>
      <c r="PU99" s="13"/>
      <c r="PV99" s="13"/>
      <c r="PW99" s="13"/>
    </row>
    <row r="100" spans="1:439" s="14" customFormat="1" ht="13.5" thickBot="1" x14ac:dyDescent="0.25">
      <c r="A100" s="88" t="s">
        <v>124</v>
      </c>
      <c r="B100" s="10" t="s">
        <v>351</v>
      </c>
      <c r="C100" s="139" t="s">
        <v>464</v>
      </c>
      <c r="D100" s="20" t="s">
        <v>324</v>
      </c>
      <c r="E100" s="102">
        <f>84/99.6*9.2</f>
        <v>7.7590361445783129</v>
      </c>
      <c r="F100" s="65"/>
      <c r="G100" s="65">
        <f>9.2*59</f>
        <v>542.79999999999995</v>
      </c>
      <c r="H100" s="63">
        <f t="shared" ref="H100:H101" si="62">F100+G100</f>
        <v>542.79999999999995</v>
      </c>
      <c r="I100" s="63">
        <f t="shared" ref="I100:I101" si="63">E100*H100</f>
        <v>4211.6048192771077</v>
      </c>
      <c r="J100" s="12">
        <f t="shared" si="0"/>
        <v>0.25</v>
      </c>
      <c r="K100" s="63">
        <f t="shared" ref="K100:K101" si="64">I100*(1+J100)</f>
        <v>5264.5060240963849</v>
      </c>
      <c r="L100" s="19">
        <f t="shared" si="49"/>
        <v>8.7794240730282268E-3</v>
      </c>
      <c r="M100" s="80"/>
      <c r="N100" s="80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13"/>
      <c r="IV100" s="13"/>
      <c r="IW100" s="13"/>
      <c r="IX100" s="13"/>
      <c r="IY100" s="13"/>
      <c r="IZ100" s="13"/>
      <c r="JA100" s="13"/>
      <c r="JB100" s="13"/>
      <c r="JC100" s="13"/>
      <c r="JD100" s="13"/>
      <c r="JE100" s="13"/>
      <c r="JF100" s="13"/>
      <c r="JG100" s="13"/>
      <c r="JH100" s="13"/>
      <c r="JI100" s="13"/>
      <c r="JJ100" s="13"/>
      <c r="JK100" s="13"/>
      <c r="JL100" s="13"/>
      <c r="JM100" s="13"/>
      <c r="JN100" s="13"/>
      <c r="JO100" s="13"/>
      <c r="JP100" s="13"/>
      <c r="JQ100" s="13"/>
      <c r="JR100" s="13"/>
      <c r="JS100" s="13"/>
      <c r="JT100" s="13"/>
      <c r="JU100" s="13"/>
      <c r="JV100" s="13"/>
      <c r="JW100" s="13"/>
      <c r="JX100" s="13"/>
      <c r="JY100" s="13"/>
      <c r="JZ100" s="13"/>
      <c r="KA100" s="13"/>
      <c r="KB100" s="13"/>
      <c r="KC100" s="13"/>
      <c r="KD100" s="13"/>
      <c r="KE100" s="13"/>
      <c r="KF100" s="13"/>
      <c r="KG100" s="13"/>
      <c r="KH100" s="13"/>
      <c r="KI100" s="13"/>
      <c r="KJ100" s="13"/>
      <c r="KK100" s="13"/>
      <c r="KL100" s="13"/>
      <c r="KM100" s="13"/>
      <c r="KN100" s="13"/>
      <c r="KO100" s="13"/>
      <c r="KP100" s="13"/>
      <c r="KQ100" s="13"/>
      <c r="KR100" s="13"/>
      <c r="KS100" s="13"/>
      <c r="KT100" s="13"/>
      <c r="KU100" s="13"/>
      <c r="KV100" s="13"/>
      <c r="KW100" s="13"/>
      <c r="KX100" s="13"/>
      <c r="KY100" s="13"/>
      <c r="KZ100" s="13"/>
      <c r="LA100" s="13"/>
      <c r="LB100" s="13"/>
      <c r="LC100" s="13"/>
      <c r="LD100" s="13"/>
      <c r="LE100" s="13"/>
      <c r="LF100" s="13"/>
      <c r="LG100" s="13"/>
      <c r="LH100" s="13"/>
      <c r="LI100" s="13"/>
      <c r="LJ100" s="13"/>
      <c r="LK100" s="13"/>
      <c r="LL100" s="13"/>
      <c r="LM100" s="13"/>
      <c r="LN100" s="13"/>
      <c r="LO100" s="13"/>
      <c r="LP100" s="13"/>
      <c r="LQ100" s="13"/>
      <c r="LR100" s="13"/>
      <c r="LS100" s="13"/>
      <c r="LT100" s="13"/>
      <c r="LU100" s="13"/>
      <c r="LV100" s="13"/>
      <c r="LW100" s="13"/>
      <c r="LX100" s="13"/>
      <c r="LY100" s="13"/>
      <c r="LZ100" s="13"/>
      <c r="MA100" s="13"/>
      <c r="MB100" s="13"/>
      <c r="MC100" s="13"/>
      <c r="MD100" s="13"/>
      <c r="ME100" s="13"/>
      <c r="MF100" s="13"/>
      <c r="MG100" s="13"/>
      <c r="MH100" s="13"/>
      <c r="MI100" s="13"/>
      <c r="MJ100" s="13"/>
      <c r="MK100" s="13"/>
      <c r="ML100" s="13"/>
      <c r="MM100" s="13"/>
      <c r="MN100" s="13"/>
      <c r="MO100" s="13"/>
      <c r="MP100" s="13"/>
      <c r="MQ100" s="13"/>
      <c r="MR100" s="13"/>
      <c r="MS100" s="13"/>
      <c r="MT100" s="13"/>
      <c r="MU100" s="13"/>
      <c r="MV100" s="13"/>
      <c r="MW100" s="13"/>
      <c r="MX100" s="13"/>
      <c r="MY100" s="13"/>
      <c r="MZ100" s="13"/>
      <c r="NA100" s="13"/>
      <c r="NB100" s="13"/>
      <c r="NC100" s="13"/>
      <c r="ND100" s="13"/>
      <c r="NE100" s="13"/>
      <c r="NF100" s="13"/>
      <c r="NG100" s="13"/>
      <c r="NH100" s="13"/>
      <c r="NI100" s="13"/>
      <c r="NJ100" s="13"/>
      <c r="NK100" s="13"/>
      <c r="NL100" s="13"/>
      <c r="NM100" s="13"/>
      <c r="NN100" s="13"/>
      <c r="NO100" s="13"/>
      <c r="NP100" s="13"/>
      <c r="NQ100" s="13"/>
      <c r="NR100" s="13"/>
      <c r="NS100" s="13"/>
      <c r="NT100" s="13"/>
      <c r="NU100" s="13"/>
      <c r="NV100" s="13"/>
      <c r="NW100" s="13"/>
      <c r="NX100" s="13"/>
      <c r="NY100" s="13"/>
      <c r="NZ100" s="13"/>
      <c r="OA100" s="13"/>
      <c r="OB100" s="13"/>
      <c r="OC100" s="13"/>
      <c r="OD100" s="13"/>
      <c r="OE100" s="13"/>
      <c r="OF100" s="13"/>
      <c r="OG100" s="13"/>
      <c r="OH100" s="13"/>
      <c r="OI100" s="13"/>
      <c r="OJ100" s="13"/>
      <c r="OK100" s="13"/>
      <c r="OL100" s="13"/>
      <c r="OM100" s="13"/>
      <c r="ON100" s="13"/>
      <c r="OO100" s="13"/>
      <c r="OP100" s="13"/>
      <c r="OQ100" s="13"/>
      <c r="OR100" s="13"/>
      <c r="OS100" s="13"/>
      <c r="OT100" s="13"/>
      <c r="OU100" s="13"/>
      <c r="OV100" s="13"/>
      <c r="OW100" s="13"/>
      <c r="OX100" s="13"/>
      <c r="OY100" s="13"/>
      <c r="OZ100" s="13"/>
      <c r="PA100" s="13"/>
      <c r="PB100" s="13"/>
      <c r="PC100" s="13"/>
      <c r="PD100" s="13"/>
      <c r="PE100" s="13"/>
      <c r="PF100" s="13"/>
      <c r="PG100" s="13"/>
      <c r="PH100" s="13"/>
      <c r="PI100" s="13"/>
      <c r="PJ100" s="13"/>
      <c r="PK100" s="13"/>
      <c r="PL100" s="13"/>
      <c r="PM100" s="13"/>
      <c r="PN100" s="13"/>
      <c r="PO100" s="13"/>
      <c r="PP100" s="13"/>
      <c r="PQ100" s="13"/>
      <c r="PR100" s="13"/>
      <c r="PS100" s="13"/>
      <c r="PT100" s="13"/>
      <c r="PU100" s="13"/>
      <c r="PV100" s="13"/>
      <c r="PW100" s="13"/>
    </row>
    <row r="101" spans="1:439" ht="13.5" thickBot="1" x14ac:dyDescent="0.25">
      <c r="A101" s="88" t="s">
        <v>124</v>
      </c>
      <c r="B101" s="10" t="s">
        <v>458</v>
      </c>
      <c r="C101" s="139" t="s">
        <v>459</v>
      </c>
      <c r="D101" s="20" t="s">
        <v>324</v>
      </c>
      <c r="E101" s="102">
        <f>0.32*27.724</f>
        <v>8.8716799999999996</v>
      </c>
      <c r="F101" s="65"/>
      <c r="G101" s="65">
        <v>59</v>
      </c>
      <c r="H101" s="63">
        <f t="shared" si="62"/>
        <v>59</v>
      </c>
      <c r="I101" s="63">
        <f t="shared" si="63"/>
        <v>523.42912000000001</v>
      </c>
      <c r="J101" s="12">
        <f t="shared" si="0"/>
        <v>0.25</v>
      </c>
      <c r="K101" s="63">
        <f t="shared" si="64"/>
        <v>654.28639999999996</v>
      </c>
      <c r="L101" s="19">
        <f t="shared" si="49"/>
        <v>1.091129489551859E-3</v>
      </c>
      <c r="M101" s="137"/>
      <c r="N101" s="137"/>
    </row>
    <row r="102" spans="1:439" ht="13.5" thickBot="1" x14ac:dyDescent="0.25">
      <c r="A102" s="88" t="s">
        <v>124</v>
      </c>
      <c r="B102" s="10" t="s">
        <v>456</v>
      </c>
      <c r="C102" s="139" t="s">
        <v>414</v>
      </c>
      <c r="D102" s="20" t="s">
        <v>324</v>
      </c>
      <c r="E102" s="102">
        <f>13*0.6</f>
        <v>7.8</v>
      </c>
      <c r="F102" s="65"/>
      <c r="G102" s="65">
        <v>59</v>
      </c>
      <c r="H102" s="63">
        <f t="shared" ref="H102" si="65">F102+G102</f>
        <v>59</v>
      </c>
      <c r="I102" s="63">
        <f t="shared" ref="I102" si="66">E102*H102</f>
        <v>460.2</v>
      </c>
      <c r="J102" s="12">
        <f t="shared" si="0"/>
        <v>0.25</v>
      </c>
      <c r="K102" s="63">
        <f t="shared" ref="K102" si="67">I102*(1+J102)</f>
        <v>575.25</v>
      </c>
      <c r="L102" s="19">
        <f t="shared" si="49"/>
        <v>9.5932337713989916E-4</v>
      </c>
      <c r="M102" s="137"/>
      <c r="N102" s="137"/>
    </row>
    <row r="103" spans="1:439" x14ac:dyDescent="0.2">
      <c r="A103" s="88" t="s">
        <v>124</v>
      </c>
      <c r="B103" s="10" t="s">
        <v>460</v>
      </c>
      <c r="C103" s="15" t="s">
        <v>417</v>
      </c>
      <c r="D103" s="20" t="s">
        <v>324</v>
      </c>
      <c r="E103" s="102">
        <f>106*1.8</f>
        <v>190.8</v>
      </c>
      <c r="F103" s="65"/>
      <c r="G103" s="65">
        <v>59</v>
      </c>
      <c r="H103" s="63">
        <f t="shared" si="59"/>
        <v>59</v>
      </c>
      <c r="I103" s="63">
        <f t="shared" si="60"/>
        <v>11257.2</v>
      </c>
      <c r="J103" s="12">
        <f t="shared" si="0"/>
        <v>0.25</v>
      </c>
      <c r="K103" s="63">
        <f t="shared" si="61"/>
        <v>14071.5</v>
      </c>
      <c r="L103" s="19">
        <f t="shared" si="49"/>
        <v>2.3466525686960612E-2</v>
      </c>
      <c r="M103" s="137"/>
      <c r="N103" s="137"/>
    </row>
    <row r="104" spans="1:439" s="14" customFormat="1" x14ac:dyDescent="0.2">
      <c r="A104" s="88" t="s">
        <v>125</v>
      </c>
      <c r="B104" s="127" t="s">
        <v>425</v>
      </c>
      <c r="C104" s="15" t="s">
        <v>388</v>
      </c>
      <c r="D104" s="20" t="s">
        <v>1</v>
      </c>
      <c r="E104" s="102">
        <v>42</v>
      </c>
      <c r="F104" s="65"/>
      <c r="G104" s="65">
        <f>59*0.12</f>
        <v>7.08</v>
      </c>
      <c r="H104" s="63">
        <f t="shared" si="59"/>
        <v>7.08</v>
      </c>
      <c r="I104" s="63">
        <f t="shared" si="60"/>
        <v>297.36</v>
      </c>
      <c r="J104" s="12">
        <f t="shared" si="0"/>
        <v>0.25</v>
      </c>
      <c r="K104" s="63">
        <f t="shared" si="61"/>
        <v>371.70000000000005</v>
      </c>
      <c r="L104" s="19">
        <f t="shared" si="49"/>
        <v>6.1987048984424266E-4</v>
      </c>
      <c r="M104" s="80"/>
      <c r="N104" s="80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  <c r="IM104" s="13"/>
      <c r="IN104" s="13"/>
      <c r="IO104" s="13"/>
      <c r="IP104" s="13"/>
      <c r="IQ104" s="13"/>
      <c r="IR104" s="13"/>
      <c r="IS104" s="13"/>
      <c r="IT104" s="13"/>
      <c r="IU104" s="13"/>
      <c r="IV104" s="13"/>
      <c r="IW104" s="13"/>
      <c r="IX104" s="13"/>
      <c r="IY104" s="13"/>
      <c r="IZ104" s="13"/>
      <c r="JA104" s="13"/>
      <c r="JB104" s="13"/>
      <c r="JC104" s="13"/>
      <c r="JD104" s="13"/>
      <c r="JE104" s="13"/>
      <c r="JF104" s="13"/>
      <c r="JG104" s="13"/>
      <c r="JH104" s="13"/>
      <c r="JI104" s="13"/>
      <c r="JJ104" s="13"/>
      <c r="JK104" s="13"/>
      <c r="JL104" s="13"/>
      <c r="JM104" s="13"/>
      <c r="JN104" s="13"/>
      <c r="JO104" s="13"/>
      <c r="JP104" s="13"/>
      <c r="JQ104" s="13"/>
      <c r="JR104" s="13"/>
      <c r="JS104" s="13"/>
      <c r="JT104" s="13"/>
      <c r="JU104" s="13"/>
      <c r="JV104" s="13"/>
      <c r="JW104" s="13"/>
      <c r="JX104" s="13"/>
      <c r="JY104" s="13"/>
      <c r="JZ104" s="13"/>
      <c r="KA104" s="13"/>
      <c r="KB104" s="13"/>
      <c r="KC104" s="13"/>
      <c r="KD104" s="13"/>
      <c r="KE104" s="13"/>
      <c r="KF104" s="13"/>
      <c r="KG104" s="13"/>
      <c r="KH104" s="13"/>
      <c r="KI104" s="13"/>
      <c r="KJ104" s="13"/>
      <c r="KK104" s="13"/>
      <c r="KL104" s="13"/>
      <c r="KM104" s="13"/>
      <c r="KN104" s="13"/>
      <c r="KO104" s="13"/>
      <c r="KP104" s="13"/>
      <c r="KQ104" s="13"/>
      <c r="KR104" s="13"/>
      <c r="KS104" s="13"/>
      <c r="KT104" s="13"/>
      <c r="KU104" s="13"/>
      <c r="KV104" s="13"/>
      <c r="KW104" s="13"/>
      <c r="KX104" s="13"/>
      <c r="KY104" s="13"/>
      <c r="KZ104" s="13"/>
      <c r="LA104" s="13"/>
      <c r="LB104" s="13"/>
      <c r="LC104" s="13"/>
      <c r="LD104" s="13"/>
      <c r="LE104" s="13"/>
      <c r="LF104" s="13"/>
      <c r="LG104" s="13"/>
      <c r="LH104" s="13"/>
      <c r="LI104" s="13"/>
      <c r="LJ104" s="13"/>
      <c r="LK104" s="13"/>
      <c r="LL104" s="13"/>
      <c r="LM104" s="13"/>
      <c r="LN104" s="13"/>
      <c r="LO104" s="13"/>
      <c r="LP104" s="13"/>
      <c r="LQ104" s="13"/>
      <c r="LR104" s="13"/>
      <c r="LS104" s="13"/>
      <c r="LT104" s="13"/>
      <c r="LU104" s="13"/>
      <c r="LV104" s="13"/>
      <c r="LW104" s="13"/>
      <c r="LX104" s="13"/>
      <c r="LY104" s="13"/>
      <c r="LZ104" s="13"/>
      <c r="MA104" s="13"/>
      <c r="MB104" s="13"/>
      <c r="MC104" s="13"/>
      <c r="MD104" s="13"/>
      <c r="ME104" s="13"/>
      <c r="MF104" s="13"/>
      <c r="MG104" s="13"/>
      <c r="MH104" s="13"/>
      <c r="MI104" s="13"/>
      <c r="MJ104" s="13"/>
      <c r="MK104" s="13"/>
      <c r="ML104" s="13"/>
      <c r="MM104" s="13"/>
      <c r="MN104" s="13"/>
      <c r="MO104" s="13"/>
      <c r="MP104" s="13"/>
      <c r="MQ104" s="13"/>
      <c r="MR104" s="13"/>
      <c r="MS104" s="13"/>
      <c r="MT104" s="13"/>
      <c r="MU104" s="13"/>
      <c r="MV104" s="13"/>
      <c r="MW104" s="13"/>
      <c r="MX104" s="13"/>
      <c r="MY104" s="13"/>
      <c r="MZ104" s="13"/>
      <c r="NA104" s="13"/>
      <c r="NB104" s="13"/>
      <c r="NC104" s="13"/>
      <c r="ND104" s="13"/>
      <c r="NE104" s="13"/>
      <c r="NF104" s="13"/>
      <c r="NG104" s="13"/>
      <c r="NH104" s="13"/>
      <c r="NI104" s="13"/>
      <c r="NJ104" s="13"/>
      <c r="NK104" s="13"/>
      <c r="NL104" s="13"/>
      <c r="NM104" s="13"/>
      <c r="NN104" s="13"/>
      <c r="NO104" s="13"/>
      <c r="NP104" s="13"/>
      <c r="NQ104" s="13"/>
      <c r="NR104" s="13"/>
      <c r="NS104" s="13"/>
      <c r="NT104" s="13"/>
      <c r="NU104" s="13"/>
      <c r="NV104" s="13"/>
      <c r="NW104" s="13"/>
      <c r="NX104" s="13"/>
      <c r="NY104" s="13"/>
      <c r="NZ104" s="13"/>
      <c r="OA104" s="13"/>
      <c r="OB104" s="13"/>
      <c r="OC104" s="13"/>
      <c r="OD104" s="13"/>
      <c r="OE104" s="13"/>
      <c r="OF104" s="13"/>
      <c r="OG104" s="13"/>
      <c r="OH104" s="13"/>
      <c r="OI104" s="13"/>
      <c r="OJ104" s="13"/>
      <c r="OK104" s="13"/>
      <c r="OL104" s="13"/>
      <c r="OM104" s="13"/>
      <c r="ON104" s="13"/>
      <c r="OO104" s="13"/>
      <c r="OP104" s="13"/>
      <c r="OQ104" s="13"/>
      <c r="OR104" s="13"/>
      <c r="OS104" s="13"/>
      <c r="OT104" s="13"/>
      <c r="OU104" s="13"/>
      <c r="OV104" s="13"/>
      <c r="OW104" s="13"/>
      <c r="OX104" s="13"/>
      <c r="OY104" s="13"/>
      <c r="OZ104" s="13"/>
      <c r="PA104" s="13"/>
      <c r="PB104" s="13"/>
      <c r="PC104" s="13"/>
      <c r="PD104" s="13"/>
      <c r="PE104" s="13"/>
      <c r="PF104" s="13"/>
      <c r="PG104" s="13"/>
      <c r="PH104" s="13"/>
      <c r="PI104" s="13"/>
      <c r="PJ104" s="13"/>
      <c r="PK104" s="13"/>
      <c r="PL104" s="13"/>
      <c r="PM104" s="13"/>
      <c r="PN104" s="13"/>
      <c r="PO104" s="13"/>
      <c r="PP104" s="13"/>
      <c r="PQ104" s="13"/>
      <c r="PR104" s="13"/>
      <c r="PS104" s="13"/>
      <c r="PT104" s="13"/>
      <c r="PU104" s="13"/>
      <c r="PV104" s="13"/>
      <c r="PW104" s="13"/>
    </row>
    <row r="105" spans="1:439" s="14" customFormat="1" x14ac:dyDescent="0.2">
      <c r="A105" s="88" t="s">
        <v>359</v>
      </c>
      <c r="B105" s="10" t="s">
        <v>461</v>
      </c>
      <c r="C105" s="15" t="s">
        <v>419</v>
      </c>
      <c r="D105" s="20" t="s">
        <v>324</v>
      </c>
      <c r="E105" s="102">
        <f>9*11.2</f>
        <v>100.8</v>
      </c>
      <c r="F105" s="65"/>
      <c r="G105" s="65">
        <v>59</v>
      </c>
      <c r="H105" s="63">
        <f t="shared" si="59"/>
        <v>59</v>
      </c>
      <c r="I105" s="63">
        <f t="shared" si="60"/>
        <v>5947.2</v>
      </c>
      <c r="J105" s="12">
        <f t="shared" si="0"/>
        <v>0.25</v>
      </c>
      <c r="K105" s="63">
        <f t="shared" si="61"/>
        <v>7434</v>
      </c>
      <c r="L105" s="19">
        <f t="shared" si="49"/>
        <v>1.2397409796884851E-2</v>
      </c>
      <c r="M105" s="80"/>
      <c r="N105" s="80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  <c r="IQ105" s="13"/>
      <c r="IR105" s="13"/>
      <c r="IS105" s="13"/>
      <c r="IT105" s="13"/>
      <c r="IU105" s="13"/>
      <c r="IV105" s="13"/>
      <c r="IW105" s="13"/>
      <c r="IX105" s="13"/>
      <c r="IY105" s="13"/>
      <c r="IZ105" s="13"/>
      <c r="JA105" s="13"/>
      <c r="JB105" s="13"/>
      <c r="JC105" s="13"/>
      <c r="JD105" s="13"/>
      <c r="JE105" s="13"/>
      <c r="JF105" s="13"/>
      <c r="JG105" s="13"/>
      <c r="JH105" s="13"/>
      <c r="JI105" s="13"/>
      <c r="JJ105" s="13"/>
      <c r="JK105" s="13"/>
      <c r="JL105" s="13"/>
      <c r="JM105" s="13"/>
      <c r="JN105" s="13"/>
      <c r="JO105" s="13"/>
      <c r="JP105" s="13"/>
      <c r="JQ105" s="13"/>
      <c r="JR105" s="13"/>
      <c r="JS105" s="13"/>
      <c r="JT105" s="13"/>
      <c r="JU105" s="13"/>
      <c r="JV105" s="13"/>
      <c r="JW105" s="13"/>
      <c r="JX105" s="13"/>
      <c r="JY105" s="13"/>
      <c r="JZ105" s="13"/>
      <c r="KA105" s="13"/>
      <c r="KB105" s="13"/>
      <c r="KC105" s="13"/>
      <c r="KD105" s="13"/>
      <c r="KE105" s="13"/>
      <c r="KF105" s="13"/>
      <c r="KG105" s="13"/>
      <c r="KH105" s="13"/>
      <c r="KI105" s="13"/>
      <c r="KJ105" s="13"/>
      <c r="KK105" s="13"/>
      <c r="KL105" s="13"/>
      <c r="KM105" s="13"/>
      <c r="KN105" s="13"/>
      <c r="KO105" s="13"/>
      <c r="KP105" s="13"/>
      <c r="KQ105" s="13"/>
      <c r="KR105" s="13"/>
      <c r="KS105" s="13"/>
      <c r="KT105" s="13"/>
      <c r="KU105" s="13"/>
      <c r="KV105" s="13"/>
      <c r="KW105" s="13"/>
      <c r="KX105" s="13"/>
      <c r="KY105" s="13"/>
      <c r="KZ105" s="13"/>
      <c r="LA105" s="13"/>
      <c r="LB105" s="13"/>
      <c r="LC105" s="13"/>
      <c r="LD105" s="13"/>
      <c r="LE105" s="13"/>
      <c r="LF105" s="13"/>
      <c r="LG105" s="13"/>
      <c r="LH105" s="13"/>
      <c r="LI105" s="13"/>
      <c r="LJ105" s="13"/>
      <c r="LK105" s="13"/>
      <c r="LL105" s="13"/>
      <c r="LM105" s="13"/>
      <c r="LN105" s="13"/>
      <c r="LO105" s="13"/>
      <c r="LP105" s="13"/>
      <c r="LQ105" s="13"/>
      <c r="LR105" s="13"/>
      <c r="LS105" s="13"/>
      <c r="LT105" s="13"/>
      <c r="LU105" s="13"/>
      <c r="LV105" s="13"/>
      <c r="LW105" s="13"/>
      <c r="LX105" s="13"/>
      <c r="LY105" s="13"/>
      <c r="LZ105" s="13"/>
      <c r="MA105" s="13"/>
      <c r="MB105" s="13"/>
      <c r="MC105" s="13"/>
      <c r="MD105" s="13"/>
      <c r="ME105" s="13"/>
      <c r="MF105" s="13"/>
      <c r="MG105" s="13"/>
      <c r="MH105" s="13"/>
      <c r="MI105" s="13"/>
      <c r="MJ105" s="13"/>
      <c r="MK105" s="13"/>
      <c r="ML105" s="13"/>
      <c r="MM105" s="13"/>
      <c r="MN105" s="13"/>
      <c r="MO105" s="13"/>
      <c r="MP105" s="13"/>
      <c r="MQ105" s="13"/>
      <c r="MR105" s="13"/>
      <c r="MS105" s="13"/>
      <c r="MT105" s="13"/>
      <c r="MU105" s="13"/>
      <c r="MV105" s="13"/>
      <c r="MW105" s="13"/>
      <c r="MX105" s="13"/>
      <c r="MY105" s="13"/>
      <c r="MZ105" s="13"/>
      <c r="NA105" s="13"/>
      <c r="NB105" s="13"/>
      <c r="NC105" s="13"/>
      <c r="ND105" s="13"/>
      <c r="NE105" s="13"/>
      <c r="NF105" s="13"/>
      <c r="NG105" s="13"/>
      <c r="NH105" s="13"/>
      <c r="NI105" s="13"/>
      <c r="NJ105" s="13"/>
      <c r="NK105" s="13"/>
      <c r="NL105" s="13"/>
      <c r="NM105" s="13"/>
      <c r="NN105" s="13"/>
      <c r="NO105" s="13"/>
      <c r="NP105" s="13"/>
      <c r="NQ105" s="13"/>
      <c r="NR105" s="13"/>
      <c r="NS105" s="13"/>
      <c r="NT105" s="13"/>
      <c r="NU105" s="13"/>
      <c r="NV105" s="13"/>
      <c r="NW105" s="13"/>
      <c r="NX105" s="13"/>
      <c r="NY105" s="13"/>
      <c r="NZ105" s="13"/>
      <c r="OA105" s="13"/>
      <c r="OB105" s="13"/>
      <c r="OC105" s="13"/>
      <c r="OD105" s="13"/>
      <c r="OE105" s="13"/>
      <c r="OF105" s="13"/>
      <c r="OG105" s="13"/>
      <c r="OH105" s="13"/>
      <c r="OI105" s="13"/>
      <c r="OJ105" s="13"/>
      <c r="OK105" s="13"/>
      <c r="OL105" s="13"/>
      <c r="OM105" s="13"/>
      <c r="ON105" s="13"/>
      <c r="OO105" s="13"/>
      <c r="OP105" s="13"/>
      <c r="OQ105" s="13"/>
      <c r="OR105" s="13"/>
      <c r="OS105" s="13"/>
      <c r="OT105" s="13"/>
      <c r="OU105" s="13"/>
      <c r="OV105" s="13"/>
      <c r="OW105" s="13"/>
      <c r="OX105" s="13"/>
      <c r="OY105" s="13"/>
      <c r="OZ105" s="13"/>
      <c r="PA105" s="13"/>
      <c r="PB105" s="13"/>
      <c r="PC105" s="13"/>
      <c r="PD105" s="13"/>
      <c r="PE105" s="13"/>
      <c r="PF105" s="13"/>
      <c r="PG105" s="13"/>
      <c r="PH105" s="13"/>
      <c r="PI105" s="13"/>
      <c r="PJ105" s="13"/>
      <c r="PK105" s="13"/>
      <c r="PL105" s="13"/>
      <c r="PM105" s="13"/>
      <c r="PN105" s="13"/>
      <c r="PO105" s="13"/>
      <c r="PP105" s="13"/>
      <c r="PQ105" s="13"/>
      <c r="PR105" s="13"/>
      <c r="PS105" s="13"/>
      <c r="PT105" s="13"/>
      <c r="PU105" s="13"/>
      <c r="PV105" s="13"/>
      <c r="PW105" s="13"/>
    </row>
    <row r="106" spans="1:439" x14ac:dyDescent="0.2">
      <c r="A106" s="88" t="s">
        <v>126</v>
      </c>
      <c r="B106" s="10" t="s">
        <v>463</v>
      </c>
      <c r="C106" s="15" t="s">
        <v>462</v>
      </c>
      <c r="D106" s="20" t="s">
        <v>324</v>
      </c>
      <c r="E106" s="102">
        <v>6.65</v>
      </c>
      <c r="F106" s="65"/>
      <c r="G106" s="65">
        <v>59</v>
      </c>
      <c r="H106" s="63">
        <f t="shared" si="59"/>
        <v>59</v>
      </c>
      <c r="I106" s="63">
        <f t="shared" si="60"/>
        <v>392.35</v>
      </c>
      <c r="J106" s="12">
        <f t="shared" si="0"/>
        <v>0.25</v>
      </c>
      <c r="K106" s="63">
        <f t="shared" si="61"/>
        <v>490.4375</v>
      </c>
      <c r="L106" s="19">
        <f t="shared" si="49"/>
        <v>8.1788467410004223E-4</v>
      </c>
      <c r="M106" s="137"/>
      <c r="N106" s="137"/>
    </row>
    <row r="107" spans="1:439" x14ac:dyDescent="0.2">
      <c r="A107" s="88" t="s">
        <v>127</v>
      </c>
      <c r="B107" s="10" t="s">
        <v>463</v>
      </c>
      <c r="C107" s="15" t="s">
        <v>420</v>
      </c>
      <c r="D107" s="20" t="s">
        <v>324</v>
      </c>
      <c r="E107" s="102">
        <f>9*6.65</f>
        <v>59.85</v>
      </c>
      <c r="F107" s="65"/>
      <c r="G107" s="65">
        <v>59</v>
      </c>
      <c r="H107" s="63">
        <f t="shared" si="59"/>
        <v>59</v>
      </c>
      <c r="I107" s="63">
        <f t="shared" si="60"/>
        <v>3531.15</v>
      </c>
      <c r="J107" s="12">
        <f t="shared" si="0"/>
        <v>0.25</v>
      </c>
      <c r="K107" s="63">
        <f t="shared" si="61"/>
        <v>4413.9375</v>
      </c>
      <c r="L107" s="19">
        <f t="shared" si="49"/>
        <v>7.3609620669003806E-3</v>
      </c>
      <c r="M107" s="137"/>
      <c r="N107" s="137"/>
    </row>
    <row r="108" spans="1:439" s="14" customFormat="1" x14ac:dyDescent="0.2">
      <c r="A108" s="88" t="s">
        <v>128</v>
      </c>
      <c r="B108" s="127" t="s">
        <v>422</v>
      </c>
      <c r="C108" s="15" t="s">
        <v>423</v>
      </c>
      <c r="D108" s="20" t="s">
        <v>324</v>
      </c>
      <c r="E108" s="102">
        <f>11*2</f>
        <v>22</v>
      </c>
      <c r="F108" s="65"/>
      <c r="G108" s="65">
        <v>59</v>
      </c>
      <c r="H108" s="63">
        <f t="shared" si="59"/>
        <v>59</v>
      </c>
      <c r="I108" s="63">
        <f t="shared" si="60"/>
        <v>1298</v>
      </c>
      <c r="J108" s="12">
        <f t="shared" si="0"/>
        <v>0.25</v>
      </c>
      <c r="K108" s="63">
        <f t="shared" si="61"/>
        <v>1622.5</v>
      </c>
      <c r="L108" s="19">
        <f t="shared" si="49"/>
        <v>2.7057838842407412E-3</v>
      </c>
      <c r="M108" s="80"/>
      <c r="N108" s="80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  <c r="IM108" s="13"/>
      <c r="IN108" s="13"/>
      <c r="IO108" s="13"/>
      <c r="IP108" s="13"/>
      <c r="IQ108" s="13"/>
      <c r="IR108" s="13"/>
      <c r="IS108" s="13"/>
      <c r="IT108" s="13"/>
      <c r="IU108" s="13"/>
      <c r="IV108" s="13"/>
      <c r="IW108" s="13"/>
      <c r="IX108" s="13"/>
      <c r="IY108" s="13"/>
      <c r="IZ108" s="13"/>
      <c r="JA108" s="13"/>
      <c r="JB108" s="13"/>
      <c r="JC108" s="13"/>
      <c r="JD108" s="13"/>
      <c r="JE108" s="13"/>
      <c r="JF108" s="13"/>
      <c r="JG108" s="13"/>
      <c r="JH108" s="13"/>
      <c r="JI108" s="13"/>
      <c r="JJ108" s="13"/>
      <c r="JK108" s="13"/>
      <c r="JL108" s="13"/>
      <c r="JM108" s="13"/>
      <c r="JN108" s="13"/>
      <c r="JO108" s="13"/>
      <c r="JP108" s="13"/>
      <c r="JQ108" s="13"/>
      <c r="JR108" s="13"/>
      <c r="JS108" s="13"/>
      <c r="JT108" s="13"/>
      <c r="JU108" s="13"/>
      <c r="JV108" s="13"/>
      <c r="JW108" s="13"/>
      <c r="JX108" s="13"/>
      <c r="JY108" s="13"/>
      <c r="JZ108" s="13"/>
      <c r="KA108" s="13"/>
      <c r="KB108" s="13"/>
      <c r="KC108" s="13"/>
      <c r="KD108" s="13"/>
      <c r="KE108" s="13"/>
      <c r="KF108" s="13"/>
      <c r="KG108" s="13"/>
      <c r="KH108" s="13"/>
      <c r="KI108" s="13"/>
      <c r="KJ108" s="13"/>
      <c r="KK108" s="13"/>
      <c r="KL108" s="13"/>
      <c r="KM108" s="13"/>
      <c r="KN108" s="13"/>
      <c r="KO108" s="13"/>
      <c r="KP108" s="13"/>
      <c r="KQ108" s="13"/>
      <c r="KR108" s="13"/>
      <c r="KS108" s="13"/>
      <c r="KT108" s="13"/>
      <c r="KU108" s="13"/>
      <c r="KV108" s="13"/>
      <c r="KW108" s="13"/>
      <c r="KX108" s="13"/>
      <c r="KY108" s="13"/>
      <c r="KZ108" s="13"/>
      <c r="LA108" s="13"/>
      <c r="LB108" s="13"/>
      <c r="LC108" s="13"/>
      <c r="LD108" s="13"/>
      <c r="LE108" s="13"/>
      <c r="LF108" s="13"/>
      <c r="LG108" s="13"/>
      <c r="LH108" s="13"/>
      <c r="LI108" s="13"/>
      <c r="LJ108" s="13"/>
      <c r="LK108" s="13"/>
      <c r="LL108" s="13"/>
      <c r="LM108" s="13"/>
      <c r="LN108" s="13"/>
      <c r="LO108" s="13"/>
      <c r="LP108" s="13"/>
      <c r="LQ108" s="13"/>
      <c r="LR108" s="13"/>
      <c r="LS108" s="13"/>
      <c r="LT108" s="13"/>
      <c r="LU108" s="13"/>
      <c r="LV108" s="13"/>
      <c r="LW108" s="13"/>
      <c r="LX108" s="13"/>
      <c r="LY108" s="13"/>
      <c r="LZ108" s="13"/>
      <c r="MA108" s="13"/>
      <c r="MB108" s="13"/>
      <c r="MC108" s="13"/>
      <c r="MD108" s="13"/>
      <c r="ME108" s="13"/>
      <c r="MF108" s="13"/>
      <c r="MG108" s="13"/>
      <c r="MH108" s="13"/>
      <c r="MI108" s="13"/>
      <c r="MJ108" s="13"/>
      <c r="MK108" s="13"/>
      <c r="ML108" s="13"/>
      <c r="MM108" s="13"/>
      <c r="MN108" s="13"/>
      <c r="MO108" s="13"/>
      <c r="MP108" s="13"/>
      <c r="MQ108" s="13"/>
      <c r="MR108" s="13"/>
      <c r="MS108" s="13"/>
      <c r="MT108" s="13"/>
      <c r="MU108" s="13"/>
      <c r="MV108" s="13"/>
      <c r="MW108" s="13"/>
      <c r="MX108" s="13"/>
      <c r="MY108" s="13"/>
      <c r="MZ108" s="13"/>
      <c r="NA108" s="13"/>
      <c r="NB108" s="13"/>
      <c r="NC108" s="13"/>
      <c r="ND108" s="13"/>
      <c r="NE108" s="13"/>
      <c r="NF108" s="13"/>
      <c r="NG108" s="13"/>
      <c r="NH108" s="13"/>
      <c r="NI108" s="13"/>
      <c r="NJ108" s="13"/>
      <c r="NK108" s="13"/>
      <c r="NL108" s="13"/>
      <c r="NM108" s="13"/>
      <c r="NN108" s="13"/>
      <c r="NO108" s="13"/>
      <c r="NP108" s="13"/>
      <c r="NQ108" s="13"/>
      <c r="NR108" s="13"/>
      <c r="NS108" s="13"/>
      <c r="NT108" s="13"/>
      <c r="NU108" s="13"/>
      <c r="NV108" s="13"/>
      <c r="NW108" s="13"/>
      <c r="NX108" s="13"/>
      <c r="NY108" s="13"/>
      <c r="NZ108" s="13"/>
      <c r="OA108" s="13"/>
      <c r="OB108" s="13"/>
      <c r="OC108" s="13"/>
      <c r="OD108" s="13"/>
      <c r="OE108" s="13"/>
      <c r="OF108" s="13"/>
      <c r="OG108" s="13"/>
      <c r="OH108" s="13"/>
      <c r="OI108" s="13"/>
      <c r="OJ108" s="13"/>
      <c r="OK108" s="13"/>
      <c r="OL108" s="13"/>
      <c r="OM108" s="13"/>
      <c r="ON108" s="13"/>
      <c r="OO108" s="13"/>
      <c r="OP108" s="13"/>
      <c r="OQ108" s="13"/>
      <c r="OR108" s="13"/>
      <c r="OS108" s="13"/>
      <c r="OT108" s="13"/>
      <c r="OU108" s="13"/>
      <c r="OV108" s="13"/>
      <c r="OW108" s="13"/>
      <c r="OX108" s="13"/>
      <c r="OY108" s="13"/>
      <c r="OZ108" s="13"/>
      <c r="PA108" s="13"/>
      <c r="PB108" s="13"/>
      <c r="PC108" s="13"/>
      <c r="PD108" s="13"/>
      <c r="PE108" s="13"/>
      <c r="PF108" s="13"/>
      <c r="PG108" s="13"/>
      <c r="PH108" s="13"/>
      <c r="PI108" s="13"/>
      <c r="PJ108" s="13"/>
      <c r="PK108" s="13"/>
      <c r="PL108" s="13"/>
      <c r="PM108" s="13"/>
      <c r="PN108" s="13"/>
      <c r="PO108" s="13"/>
      <c r="PP108" s="13"/>
      <c r="PQ108" s="13"/>
      <c r="PR108" s="13"/>
      <c r="PS108" s="13"/>
      <c r="PT108" s="13"/>
      <c r="PU108" s="13"/>
      <c r="PV108" s="13"/>
      <c r="PW108" s="13"/>
    </row>
    <row r="109" spans="1:439" s="14" customFormat="1" x14ac:dyDescent="0.2">
      <c r="A109" s="88" t="s">
        <v>129</v>
      </c>
      <c r="B109" s="127" t="s">
        <v>352</v>
      </c>
      <c r="C109" s="15" t="s">
        <v>410</v>
      </c>
      <c r="D109" s="20" t="s">
        <v>1</v>
      </c>
      <c r="E109" s="102">
        <f>1*5.2</f>
        <v>5.2</v>
      </c>
      <c r="F109" s="65"/>
      <c r="G109" s="65">
        <f>5.2*59</f>
        <v>306.8</v>
      </c>
      <c r="H109" s="63">
        <f t="shared" si="59"/>
        <v>306.8</v>
      </c>
      <c r="I109" s="63">
        <f t="shared" si="60"/>
        <v>1595.3600000000001</v>
      </c>
      <c r="J109" s="12">
        <f t="shared" si="0"/>
        <v>0.25</v>
      </c>
      <c r="K109" s="63">
        <f t="shared" si="61"/>
        <v>1994.2000000000003</v>
      </c>
      <c r="L109" s="19">
        <f t="shared" ref="L109:L114" si="68">K109/$K$118</f>
        <v>3.3256543740849843E-3</v>
      </c>
      <c r="M109" s="80"/>
      <c r="N109" s="80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  <c r="IM109" s="13"/>
      <c r="IN109" s="13"/>
      <c r="IO109" s="13"/>
      <c r="IP109" s="13"/>
      <c r="IQ109" s="13"/>
      <c r="IR109" s="13"/>
      <c r="IS109" s="13"/>
      <c r="IT109" s="13"/>
      <c r="IU109" s="13"/>
      <c r="IV109" s="13"/>
      <c r="IW109" s="13"/>
      <c r="IX109" s="13"/>
      <c r="IY109" s="13"/>
      <c r="IZ109" s="13"/>
      <c r="JA109" s="13"/>
      <c r="JB109" s="13"/>
      <c r="JC109" s="13"/>
      <c r="JD109" s="13"/>
      <c r="JE109" s="13"/>
      <c r="JF109" s="13"/>
      <c r="JG109" s="13"/>
      <c r="JH109" s="13"/>
      <c r="JI109" s="13"/>
      <c r="JJ109" s="13"/>
      <c r="JK109" s="13"/>
      <c r="JL109" s="13"/>
      <c r="JM109" s="13"/>
      <c r="JN109" s="13"/>
      <c r="JO109" s="13"/>
      <c r="JP109" s="13"/>
      <c r="JQ109" s="13"/>
      <c r="JR109" s="13"/>
      <c r="JS109" s="13"/>
      <c r="JT109" s="13"/>
      <c r="JU109" s="13"/>
      <c r="JV109" s="13"/>
      <c r="JW109" s="13"/>
      <c r="JX109" s="13"/>
      <c r="JY109" s="13"/>
      <c r="JZ109" s="13"/>
      <c r="KA109" s="13"/>
      <c r="KB109" s="13"/>
      <c r="KC109" s="13"/>
      <c r="KD109" s="13"/>
      <c r="KE109" s="13"/>
      <c r="KF109" s="13"/>
      <c r="KG109" s="13"/>
      <c r="KH109" s="13"/>
      <c r="KI109" s="13"/>
      <c r="KJ109" s="13"/>
      <c r="KK109" s="13"/>
      <c r="KL109" s="13"/>
      <c r="KM109" s="13"/>
      <c r="KN109" s="13"/>
      <c r="KO109" s="13"/>
      <c r="KP109" s="13"/>
      <c r="KQ109" s="13"/>
      <c r="KR109" s="13"/>
      <c r="KS109" s="13"/>
      <c r="KT109" s="13"/>
      <c r="KU109" s="13"/>
      <c r="KV109" s="13"/>
      <c r="KW109" s="13"/>
      <c r="KX109" s="13"/>
      <c r="KY109" s="13"/>
      <c r="KZ109" s="13"/>
      <c r="LA109" s="13"/>
      <c r="LB109" s="13"/>
      <c r="LC109" s="13"/>
      <c r="LD109" s="13"/>
      <c r="LE109" s="13"/>
      <c r="LF109" s="13"/>
      <c r="LG109" s="13"/>
      <c r="LH109" s="13"/>
      <c r="LI109" s="13"/>
      <c r="LJ109" s="13"/>
      <c r="LK109" s="13"/>
      <c r="LL109" s="13"/>
      <c r="LM109" s="13"/>
      <c r="LN109" s="13"/>
      <c r="LO109" s="13"/>
      <c r="LP109" s="13"/>
      <c r="LQ109" s="13"/>
      <c r="LR109" s="13"/>
      <c r="LS109" s="13"/>
      <c r="LT109" s="13"/>
      <c r="LU109" s="13"/>
      <c r="LV109" s="13"/>
      <c r="LW109" s="13"/>
      <c r="LX109" s="13"/>
      <c r="LY109" s="13"/>
      <c r="LZ109" s="13"/>
      <c r="MA109" s="13"/>
      <c r="MB109" s="13"/>
      <c r="MC109" s="13"/>
      <c r="MD109" s="13"/>
      <c r="ME109" s="13"/>
      <c r="MF109" s="13"/>
      <c r="MG109" s="13"/>
      <c r="MH109" s="13"/>
      <c r="MI109" s="13"/>
      <c r="MJ109" s="13"/>
      <c r="MK109" s="13"/>
      <c r="ML109" s="13"/>
      <c r="MM109" s="13"/>
      <c r="MN109" s="13"/>
      <c r="MO109" s="13"/>
      <c r="MP109" s="13"/>
      <c r="MQ109" s="13"/>
      <c r="MR109" s="13"/>
      <c r="MS109" s="13"/>
      <c r="MT109" s="13"/>
      <c r="MU109" s="13"/>
      <c r="MV109" s="13"/>
      <c r="MW109" s="13"/>
      <c r="MX109" s="13"/>
      <c r="MY109" s="13"/>
      <c r="MZ109" s="13"/>
      <c r="NA109" s="13"/>
      <c r="NB109" s="13"/>
      <c r="NC109" s="13"/>
      <c r="ND109" s="13"/>
      <c r="NE109" s="13"/>
      <c r="NF109" s="13"/>
      <c r="NG109" s="13"/>
      <c r="NH109" s="13"/>
      <c r="NI109" s="13"/>
      <c r="NJ109" s="13"/>
      <c r="NK109" s="13"/>
      <c r="NL109" s="13"/>
      <c r="NM109" s="13"/>
      <c r="NN109" s="13"/>
      <c r="NO109" s="13"/>
      <c r="NP109" s="13"/>
      <c r="NQ109" s="13"/>
      <c r="NR109" s="13"/>
      <c r="NS109" s="13"/>
      <c r="NT109" s="13"/>
      <c r="NU109" s="13"/>
      <c r="NV109" s="13"/>
      <c r="NW109" s="13"/>
      <c r="NX109" s="13"/>
      <c r="NY109" s="13"/>
      <c r="NZ109" s="13"/>
      <c r="OA109" s="13"/>
      <c r="OB109" s="13"/>
      <c r="OC109" s="13"/>
      <c r="OD109" s="13"/>
      <c r="OE109" s="13"/>
      <c r="OF109" s="13"/>
      <c r="OG109" s="13"/>
      <c r="OH109" s="13"/>
      <c r="OI109" s="13"/>
      <c r="OJ109" s="13"/>
      <c r="OK109" s="13"/>
      <c r="OL109" s="13"/>
      <c r="OM109" s="13"/>
      <c r="ON109" s="13"/>
      <c r="OO109" s="13"/>
      <c r="OP109" s="13"/>
      <c r="OQ109" s="13"/>
      <c r="OR109" s="13"/>
      <c r="OS109" s="13"/>
      <c r="OT109" s="13"/>
      <c r="OU109" s="13"/>
      <c r="OV109" s="13"/>
      <c r="OW109" s="13"/>
      <c r="OX109" s="13"/>
      <c r="OY109" s="13"/>
      <c r="OZ109" s="13"/>
      <c r="PA109" s="13"/>
      <c r="PB109" s="13"/>
      <c r="PC109" s="13"/>
      <c r="PD109" s="13"/>
      <c r="PE109" s="13"/>
      <c r="PF109" s="13"/>
      <c r="PG109" s="13"/>
      <c r="PH109" s="13"/>
      <c r="PI109" s="13"/>
      <c r="PJ109" s="13"/>
      <c r="PK109" s="13"/>
      <c r="PL109" s="13"/>
      <c r="PM109" s="13"/>
      <c r="PN109" s="13"/>
      <c r="PO109" s="13"/>
      <c r="PP109" s="13"/>
      <c r="PQ109" s="13"/>
      <c r="PR109" s="13"/>
      <c r="PS109" s="13"/>
      <c r="PT109" s="13"/>
      <c r="PU109" s="13"/>
      <c r="PV109" s="13"/>
      <c r="PW109" s="13"/>
    </row>
    <row r="110" spans="1:439" s="14" customFormat="1" x14ac:dyDescent="0.2">
      <c r="A110" s="88" t="s">
        <v>129</v>
      </c>
      <c r="B110" s="127" t="s">
        <v>353</v>
      </c>
      <c r="C110" s="93" t="s">
        <v>59</v>
      </c>
      <c r="D110" s="109" t="s">
        <v>1</v>
      </c>
      <c r="E110" s="110">
        <v>6</v>
      </c>
      <c r="F110" s="65">
        <v>3.41</v>
      </c>
      <c r="G110" s="65"/>
      <c r="H110" s="63">
        <f t="shared" ref="H110:H114" si="69">F110+G110</f>
        <v>3.41</v>
      </c>
      <c r="I110" s="63">
        <f t="shared" ref="I110:I114" si="70">E110*H110</f>
        <v>20.46</v>
      </c>
      <c r="J110" s="12">
        <f t="shared" si="0"/>
        <v>0.25</v>
      </c>
      <c r="K110" s="63">
        <f t="shared" ref="K110:K114" si="71">I110*(1+J110)</f>
        <v>25.575000000000003</v>
      </c>
      <c r="L110" s="19">
        <f t="shared" si="68"/>
        <v>4.2650491734642202E-5</v>
      </c>
      <c r="M110" s="80"/>
      <c r="N110" s="80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  <c r="IQ110" s="13"/>
      <c r="IR110" s="13"/>
      <c r="IS110" s="13"/>
      <c r="IT110" s="13"/>
      <c r="IU110" s="13"/>
      <c r="IV110" s="13"/>
      <c r="IW110" s="13"/>
      <c r="IX110" s="13"/>
      <c r="IY110" s="13"/>
      <c r="IZ110" s="13"/>
      <c r="JA110" s="13"/>
      <c r="JB110" s="13"/>
      <c r="JC110" s="13"/>
      <c r="JD110" s="13"/>
      <c r="JE110" s="13"/>
      <c r="JF110" s="13"/>
      <c r="JG110" s="13"/>
      <c r="JH110" s="13"/>
      <c r="JI110" s="13"/>
      <c r="JJ110" s="13"/>
      <c r="JK110" s="13"/>
      <c r="JL110" s="13"/>
      <c r="JM110" s="13"/>
      <c r="JN110" s="13"/>
      <c r="JO110" s="13"/>
      <c r="JP110" s="13"/>
      <c r="JQ110" s="13"/>
      <c r="JR110" s="13"/>
      <c r="JS110" s="13"/>
      <c r="JT110" s="13"/>
      <c r="JU110" s="13"/>
      <c r="JV110" s="13"/>
      <c r="JW110" s="13"/>
      <c r="JX110" s="13"/>
      <c r="JY110" s="13"/>
      <c r="JZ110" s="13"/>
      <c r="KA110" s="13"/>
      <c r="KB110" s="13"/>
      <c r="KC110" s="13"/>
      <c r="KD110" s="13"/>
      <c r="KE110" s="13"/>
      <c r="KF110" s="13"/>
      <c r="KG110" s="13"/>
      <c r="KH110" s="13"/>
      <c r="KI110" s="13"/>
      <c r="KJ110" s="13"/>
      <c r="KK110" s="13"/>
      <c r="KL110" s="13"/>
      <c r="KM110" s="13"/>
      <c r="KN110" s="13"/>
      <c r="KO110" s="13"/>
      <c r="KP110" s="13"/>
      <c r="KQ110" s="13"/>
      <c r="KR110" s="13"/>
      <c r="KS110" s="13"/>
      <c r="KT110" s="13"/>
      <c r="KU110" s="13"/>
      <c r="KV110" s="13"/>
      <c r="KW110" s="13"/>
      <c r="KX110" s="13"/>
      <c r="KY110" s="13"/>
      <c r="KZ110" s="13"/>
      <c r="LA110" s="13"/>
      <c r="LB110" s="13"/>
      <c r="LC110" s="13"/>
      <c r="LD110" s="13"/>
      <c r="LE110" s="13"/>
      <c r="LF110" s="13"/>
      <c r="LG110" s="13"/>
      <c r="LH110" s="13"/>
      <c r="LI110" s="13"/>
      <c r="LJ110" s="13"/>
      <c r="LK110" s="13"/>
      <c r="LL110" s="13"/>
      <c r="LM110" s="13"/>
      <c r="LN110" s="13"/>
      <c r="LO110" s="13"/>
      <c r="LP110" s="13"/>
      <c r="LQ110" s="13"/>
      <c r="LR110" s="13"/>
      <c r="LS110" s="13"/>
      <c r="LT110" s="13"/>
      <c r="LU110" s="13"/>
      <c r="LV110" s="13"/>
      <c r="LW110" s="13"/>
      <c r="LX110" s="13"/>
      <c r="LY110" s="13"/>
      <c r="LZ110" s="13"/>
      <c r="MA110" s="13"/>
      <c r="MB110" s="13"/>
      <c r="MC110" s="13"/>
      <c r="MD110" s="13"/>
      <c r="ME110" s="13"/>
      <c r="MF110" s="13"/>
      <c r="MG110" s="13"/>
      <c r="MH110" s="13"/>
      <c r="MI110" s="13"/>
      <c r="MJ110" s="13"/>
      <c r="MK110" s="13"/>
      <c r="ML110" s="13"/>
      <c r="MM110" s="13"/>
      <c r="MN110" s="13"/>
      <c r="MO110" s="13"/>
      <c r="MP110" s="13"/>
      <c r="MQ110" s="13"/>
      <c r="MR110" s="13"/>
      <c r="MS110" s="13"/>
      <c r="MT110" s="13"/>
      <c r="MU110" s="13"/>
      <c r="MV110" s="13"/>
      <c r="MW110" s="13"/>
      <c r="MX110" s="13"/>
      <c r="MY110" s="13"/>
      <c r="MZ110" s="13"/>
      <c r="NA110" s="13"/>
      <c r="NB110" s="13"/>
      <c r="NC110" s="13"/>
      <c r="ND110" s="13"/>
      <c r="NE110" s="13"/>
      <c r="NF110" s="13"/>
      <c r="NG110" s="13"/>
      <c r="NH110" s="13"/>
      <c r="NI110" s="13"/>
      <c r="NJ110" s="13"/>
      <c r="NK110" s="13"/>
      <c r="NL110" s="13"/>
      <c r="NM110" s="13"/>
      <c r="NN110" s="13"/>
      <c r="NO110" s="13"/>
      <c r="NP110" s="13"/>
      <c r="NQ110" s="13"/>
      <c r="NR110" s="13"/>
      <c r="NS110" s="13"/>
      <c r="NT110" s="13"/>
      <c r="NU110" s="13"/>
      <c r="NV110" s="13"/>
      <c r="NW110" s="13"/>
      <c r="NX110" s="13"/>
      <c r="NY110" s="13"/>
      <c r="NZ110" s="13"/>
      <c r="OA110" s="13"/>
      <c r="OB110" s="13"/>
      <c r="OC110" s="13"/>
      <c r="OD110" s="13"/>
      <c r="OE110" s="13"/>
      <c r="OF110" s="13"/>
      <c r="OG110" s="13"/>
      <c r="OH110" s="13"/>
      <c r="OI110" s="13"/>
      <c r="OJ110" s="13"/>
      <c r="OK110" s="13"/>
      <c r="OL110" s="13"/>
      <c r="OM110" s="13"/>
      <c r="ON110" s="13"/>
      <c r="OO110" s="13"/>
      <c r="OP110" s="13"/>
      <c r="OQ110" s="13"/>
      <c r="OR110" s="13"/>
      <c r="OS110" s="13"/>
      <c r="OT110" s="13"/>
      <c r="OU110" s="13"/>
      <c r="OV110" s="13"/>
      <c r="OW110" s="13"/>
      <c r="OX110" s="13"/>
      <c r="OY110" s="13"/>
      <c r="OZ110" s="13"/>
      <c r="PA110" s="13"/>
      <c r="PB110" s="13"/>
      <c r="PC110" s="13"/>
      <c r="PD110" s="13"/>
      <c r="PE110" s="13"/>
      <c r="PF110" s="13"/>
      <c r="PG110" s="13"/>
      <c r="PH110" s="13"/>
      <c r="PI110" s="13"/>
      <c r="PJ110" s="13"/>
      <c r="PK110" s="13"/>
      <c r="PL110" s="13"/>
      <c r="PM110" s="13"/>
      <c r="PN110" s="13"/>
      <c r="PO110" s="13"/>
      <c r="PP110" s="13"/>
      <c r="PQ110" s="13"/>
      <c r="PR110" s="13"/>
      <c r="PS110" s="13"/>
      <c r="PT110" s="13"/>
      <c r="PU110" s="13"/>
      <c r="PV110" s="13"/>
      <c r="PW110" s="13"/>
    </row>
    <row r="111" spans="1:439" s="14" customFormat="1" x14ac:dyDescent="0.2">
      <c r="A111" s="88" t="s">
        <v>129</v>
      </c>
      <c r="B111" s="127" t="s">
        <v>32</v>
      </c>
      <c r="C111" s="93" t="s">
        <v>396</v>
      </c>
      <c r="D111" s="109" t="s">
        <v>1</v>
      </c>
      <c r="E111" s="110">
        <v>29</v>
      </c>
      <c r="F111" s="65">
        <v>690</v>
      </c>
      <c r="G111" s="65"/>
      <c r="H111" s="63">
        <f t="shared" ref="H111:H112" si="72">F111+G111</f>
        <v>690</v>
      </c>
      <c r="I111" s="63">
        <f t="shared" ref="I111:I112" si="73">E111*H111</f>
        <v>20010</v>
      </c>
      <c r="J111" s="12">
        <f t="shared" si="0"/>
        <v>0.25</v>
      </c>
      <c r="K111" s="63">
        <f t="shared" ref="K111:K112" si="74">I111*(1+J111)</f>
        <v>25012.5</v>
      </c>
      <c r="L111" s="19">
        <f t="shared" si="68"/>
        <v>4.1712431065991706E-2</v>
      </c>
      <c r="M111" s="80"/>
      <c r="N111" s="80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  <c r="IO111" s="13"/>
      <c r="IP111" s="13"/>
      <c r="IQ111" s="13"/>
      <c r="IR111" s="13"/>
      <c r="IS111" s="13"/>
      <c r="IT111" s="13"/>
      <c r="IU111" s="13"/>
      <c r="IV111" s="13"/>
      <c r="IW111" s="13"/>
      <c r="IX111" s="13"/>
      <c r="IY111" s="13"/>
      <c r="IZ111" s="13"/>
      <c r="JA111" s="13"/>
      <c r="JB111" s="13"/>
      <c r="JC111" s="13"/>
      <c r="JD111" s="13"/>
      <c r="JE111" s="13"/>
      <c r="JF111" s="13"/>
      <c r="JG111" s="13"/>
      <c r="JH111" s="13"/>
      <c r="JI111" s="13"/>
      <c r="JJ111" s="13"/>
      <c r="JK111" s="13"/>
      <c r="JL111" s="13"/>
      <c r="JM111" s="13"/>
      <c r="JN111" s="13"/>
      <c r="JO111" s="13"/>
      <c r="JP111" s="13"/>
      <c r="JQ111" s="13"/>
      <c r="JR111" s="13"/>
      <c r="JS111" s="13"/>
      <c r="JT111" s="13"/>
      <c r="JU111" s="13"/>
      <c r="JV111" s="13"/>
      <c r="JW111" s="13"/>
      <c r="JX111" s="13"/>
      <c r="JY111" s="13"/>
      <c r="JZ111" s="13"/>
      <c r="KA111" s="13"/>
      <c r="KB111" s="13"/>
      <c r="KC111" s="13"/>
      <c r="KD111" s="13"/>
      <c r="KE111" s="13"/>
      <c r="KF111" s="13"/>
      <c r="KG111" s="13"/>
      <c r="KH111" s="13"/>
      <c r="KI111" s="13"/>
      <c r="KJ111" s="13"/>
      <c r="KK111" s="13"/>
      <c r="KL111" s="13"/>
      <c r="KM111" s="13"/>
      <c r="KN111" s="13"/>
      <c r="KO111" s="13"/>
      <c r="KP111" s="13"/>
      <c r="KQ111" s="13"/>
      <c r="KR111" s="13"/>
      <c r="KS111" s="13"/>
      <c r="KT111" s="13"/>
      <c r="KU111" s="13"/>
      <c r="KV111" s="13"/>
      <c r="KW111" s="13"/>
      <c r="KX111" s="13"/>
      <c r="KY111" s="13"/>
      <c r="KZ111" s="13"/>
      <c r="LA111" s="13"/>
      <c r="LB111" s="13"/>
      <c r="LC111" s="13"/>
      <c r="LD111" s="13"/>
      <c r="LE111" s="13"/>
      <c r="LF111" s="13"/>
      <c r="LG111" s="13"/>
      <c r="LH111" s="13"/>
      <c r="LI111" s="13"/>
      <c r="LJ111" s="13"/>
      <c r="LK111" s="13"/>
      <c r="LL111" s="13"/>
      <c r="LM111" s="13"/>
      <c r="LN111" s="13"/>
      <c r="LO111" s="13"/>
      <c r="LP111" s="13"/>
      <c r="LQ111" s="13"/>
      <c r="LR111" s="13"/>
      <c r="LS111" s="13"/>
      <c r="LT111" s="13"/>
      <c r="LU111" s="13"/>
      <c r="LV111" s="13"/>
      <c r="LW111" s="13"/>
      <c r="LX111" s="13"/>
      <c r="LY111" s="13"/>
      <c r="LZ111" s="13"/>
      <c r="MA111" s="13"/>
      <c r="MB111" s="13"/>
      <c r="MC111" s="13"/>
      <c r="MD111" s="13"/>
      <c r="ME111" s="13"/>
      <c r="MF111" s="13"/>
      <c r="MG111" s="13"/>
      <c r="MH111" s="13"/>
      <c r="MI111" s="13"/>
      <c r="MJ111" s="13"/>
      <c r="MK111" s="13"/>
      <c r="ML111" s="13"/>
      <c r="MM111" s="13"/>
      <c r="MN111" s="13"/>
      <c r="MO111" s="13"/>
      <c r="MP111" s="13"/>
      <c r="MQ111" s="13"/>
      <c r="MR111" s="13"/>
      <c r="MS111" s="13"/>
      <c r="MT111" s="13"/>
      <c r="MU111" s="13"/>
      <c r="MV111" s="13"/>
      <c r="MW111" s="13"/>
      <c r="MX111" s="13"/>
      <c r="MY111" s="13"/>
      <c r="MZ111" s="13"/>
      <c r="NA111" s="13"/>
      <c r="NB111" s="13"/>
      <c r="NC111" s="13"/>
      <c r="ND111" s="13"/>
      <c r="NE111" s="13"/>
      <c r="NF111" s="13"/>
      <c r="NG111" s="13"/>
      <c r="NH111" s="13"/>
      <c r="NI111" s="13"/>
      <c r="NJ111" s="13"/>
      <c r="NK111" s="13"/>
      <c r="NL111" s="13"/>
      <c r="NM111" s="13"/>
      <c r="NN111" s="13"/>
      <c r="NO111" s="13"/>
      <c r="NP111" s="13"/>
      <c r="NQ111" s="13"/>
      <c r="NR111" s="13"/>
      <c r="NS111" s="13"/>
      <c r="NT111" s="13"/>
      <c r="NU111" s="13"/>
      <c r="NV111" s="13"/>
      <c r="NW111" s="13"/>
      <c r="NX111" s="13"/>
      <c r="NY111" s="13"/>
      <c r="NZ111" s="13"/>
      <c r="OA111" s="13"/>
      <c r="OB111" s="13"/>
      <c r="OC111" s="13"/>
      <c r="OD111" s="13"/>
      <c r="OE111" s="13"/>
      <c r="OF111" s="13"/>
      <c r="OG111" s="13"/>
      <c r="OH111" s="13"/>
      <c r="OI111" s="13"/>
      <c r="OJ111" s="13"/>
      <c r="OK111" s="13"/>
      <c r="OL111" s="13"/>
      <c r="OM111" s="13"/>
      <c r="ON111" s="13"/>
      <c r="OO111" s="13"/>
      <c r="OP111" s="13"/>
      <c r="OQ111" s="13"/>
      <c r="OR111" s="13"/>
      <c r="OS111" s="13"/>
      <c r="OT111" s="13"/>
      <c r="OU111" s="13"/>
      <c r="OV111" s="13"/>
      <c r="OW111" s="13"/>
      <c r="OX111" s="13"/>
      <c r="OY111" s="13"/>
      <c r="OZ111" s="13"/>
      <c r="PA111" s="13"/>
      <c r="PB111" s="13"/>
      <c r="PC111" s="13"/>
      <c r="PD111" s="13"/>
      <c r="PE111" s="13"/>
      <c r="PF111" s="13"/>
      <c r="PG111" s="13"/>
      <c r="PH111" s="13"/>
      <c r="PI111" s="13"/>
      <c r="PJ111" s="13"/>
      <c r="PK111" s="13"/>
      <c r="PL111" s="13"/>
      <c r="PM111" s="13"/>
      <c r="PN111" s="13"/>
      <c r="PO111" s="13"/>
      <c r="PP111" s="13"/>
      <c r="PQ111" s="13"/>
      <c r="PR111" s="13"/>
      <c r="PS111" s="13"/>
      <c r="PT111" s="13"/>
      <c r="PU111" s="13"/>
      <c r="PV111" s="13"/>
      <c r="PW111" s="13"/>
    </row>
    <row r="112" spans="1:439" s="14" customFormat="1" x14ac:dyDescent="0.2">
      <c r="A112" s="88" t="s">
        <v>133</v>
      </c>
      <c r="B112" s="127" t="s">
        <v>428</v>
      </c>
      <c r="C112" s="93" t="s">
        <v>465</v>
      </c>
      <c r="D112" s="109" t="s">
        <v>1</v>
      </c>
      <c r="E112" s="110">
        <v>6</v>
      </c>
      <c r="F112" s="65">
        <v>0.86</v>
      </c>
      <c r="G112" s="65"/>
      <c r="H112" s="63">
        <f t="shared" si="72"/>
        <v>0.86</v>
      </c>
      <c r="I112" s="63">
        <f t="shared" si="73"/>
        <v>5.16</v>
      </c>
      <c r="J112" s="12">
        <f t="shared" si="0"/>
        <v>0.25</v>
      </c>
      <c r="K112" s="63">
        <f t="shared" si="74"/>
        <v>6.45</v>
      </c>
      <c r="L112" s="19">
        <f t="shared" si="68"/>
        <v>1.0756429000525598E-5</v>
      </c>
      <c r="M112" s="80"/>
      <c r="N112" s="80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  <c r="IQ112" s="13"/>
      <c r="IR112" s="13"/>
      <c r="IS112" s="13"/>
      <c r="IT112" s="13"/>
      <c r="IU112" s="13"/>
      <c r="IV112" s="13"/>
      <c r="IW112" s="13"/>
      <c r="IX112" s="13"/>
      <c r="IY112" s="13"/>
      <c r="IZ112" s="13"/>
      <c r="JA112" s="13"/>
      <c r="JB112" s="13"/>
      <c r="JC112" s="13"/>
      <c r="JD112" s="13"/>
      <c r="JE112" s="13"/>
      <c r="JF112" s="13"/>
      <c r="JG112" s="13"/>
      <c r="JH112" s="13"/>
      <c r="JI112" s="13"/>
      <c r="JJ112" s="13"/>
      <c r="JK112" s="13"/>
      <c r="JL112" s="13"/>
      <c r="JM112" s="13"/>
      <c r="JN112" s="13"/>
      <c r="JO112" s="13"/>
      <c r="JP112" s="13"/>
      <c r="JQ112" s="13"/>
      <c r="JR112" s="13"/>
      <c r="JS112" s="13"/>
      <c r="JT112" s="13"/>
      <c r="JU112" s="13"/>
      <c r="JV112" s="13"/>
      <c r="JW112" s="13"/>
      <c r="JX112" s="13"/>
      <c r="JY112" s="13"/>
      <c r="JZ112" s="13"/>
      <c r="KA112" s="13"/>
      <c r="KB112" s="13"/>
      <c r="KC112" s="13"/>
      <c r="KD112" s="13"/>
      <c r="KE112" s="13"/>
      <c r="KF112" s="13"/>
      <c r="KG112" s="13"/>
      <c r="KH112" s="13"/>
      <c r="KI112" s="13"/>
      <c r="KJ112" s="13"/>
      <c r="KK112" s="13"/>
      <c r="KL112" s="13"/>
      <c r="KM112" s="13"/>
      <c r="KN112" s="13"/>
      <c r="KO112" s="13"/>
      <c r="KP112" s="13"/>
      <c r="KQ112" s="13"/>
      <c r="KR112" s="13"/>
      <c r="KS112" s="13"/>
      <c r="KT112" s="13"/>
      <c r="KU112" s="13"/>
      <c r="KV112" s="13"/>
      <c r="KW112" s="13"/>
      <c r="KX112" s="13"/>
      <c r="KY112" s="13"/>
      <c r="KZ112" s="13"/>
      <c r="LA112" s="13"/>
      <c r="LB112" s="13"/>
      <c r="LC112" s="13"/>
      <c r="LD112" s="13"/>
      <c r="LE112" s="13"/>
      <c r="LF112" s="13"/>
      <c r="LG112" s="13"/>
      <c r="LH112" s="13"/>
      <c r="LI112" s="13"/>
      <c r="LJ112" s="13"/>
      <c r="LK112" s="13"/>
      <c r="LL112" s="13"/>
      <c r="LM112" s="13"/>
      <c r="LN112" s="13"/>
      <c r="LO112" s="13"/>
      <c r="LP112" s="13"/>
      <c r="LQ112" s="13"/>
      <c r="LR112" s="13"/>
      <c r="LS112" s="13"/>
      <c r="LT112" s="13"/>
      <c r="LU112" s="13"/>
      <c r="LV112" s="13"/>
      <c r="LW112" s="13"/>
      <c r="LX112" s="13"/>
      <c r="LY112" s="13"/>
      <c r="LZ112" s="13"/>
      <c r="MA112" s="13"/>
      <c r="MB112" s="13"/>
      <c r="MC112" s="13"/>
      <c r="MD112" s="13"/>
      <c r="ME112" s="13"/>
      <c r="MF112" s="13"/>
      <c r="MG112" s="13"/>
      <c r="MH112" s="13"/>
      <c r="MI112" s="13"/>
      <c r="MJ112" s="13"/>
      <c r="MK112" s="13"/>
      <c r="ML112" s="13"/>
      <c r="MM112" s="13"/>
      <c r="MN112" s="13"/>
      <c r="MO112" s="13"/>
      <c r="MP112" s="13"/>
      <c r="MQ112" s="13"/>
      <c r="MR112" s="13"/>
      <c r="MS112" s="13"/>
      <c r="MT112" s="13"/>
      <c r="MU112" s="13"/>
      <c r="MV112" s="13"/>
      <c r="MW112" s="13"/>
      <c r="MX112" s="13"/>
      <c r="MY112" s="13"/>
      <c r="MZ112" s="13"/>
      <c r="NA112" s="13"/>
      <c r="NB112" s="13"/>
      <c r="NC112" s="13"/>
      <c r="ND112" s="13"/>
      <c r="NE112" s="13"/>
      <c r="NF112" s="13"/>
      <c r="NG112" s="13"/>
      <c r="NH112" s="13"/>
      <c r="NI112" s="13"/>
      <c r="NJ112" s="13"/>
      <c r="NK112" s="13"/>
      <c r="NL112" s="13"/>
      <c r="NM112" s="13"/>
      <c r="NN112" s="13"/>
      <c r="NO112" s="13"/>
      <c r="NP112" s="13"/>
      <c r="NQ112" s="13"/>
      <c r="NR112" s="13"/>
      <c r="NS112" s="13"/>
      <c r="NT112" s="13"/>
      <c r="NU112" s="13"/>
      <c r="NV112" s="13"/>
      <c r="NW112" s="13"/>
      <c r="NX112" s="13"/>
      <c r="NY112" s="13"/>
      <c r="NZ112" s="13"/>
      <c r="OA112" s="13"/>
      <c r="OB112" s="13"/>
      <c r="OC112" s="13"/>
      <c r="OD112" s="13"/>
      <c r="OE112" s="13"/>
      <c r="OF112" s="13"/>
      <c r="OG112" s="13"/>
      <c r="OH112" s="13"/>
      <c r="OI112" s="13"/>
      <c r="OJ112" s="13"/>
      <c r="OK112" s="13"/>
      <c r="OL112" s="13"/>
      <c r="OM112" s="13"/>
      <c r="ON112" s="13"/>
      <c r="OO112" s="13"/>
      <c r="OP112" s="13"/>
      <c r="OQ112" s="13"/>
      <c r="OR112" s="13"/>
      <c r="OS112" s="13"/>
      <c r="OT112" s="13"/>
      <c r="OU112" s="13"/>
      <c r="OV112" s="13"/>
      <c r="OW112" s="13"/>
      <c r="OX112" s="13"/>
      <c r="OY112" s="13"/>
      <c r="OZ112" s="13"/>
      <c r="PA112" s="13"/>
      <c r="PB112" s="13"/>
      <c r="PC112" s="13"/>
      <c r="PD112" s="13"/>
      <c r="PE112" s="13"/>
      <c r="PF112" s="13"/>
      <c r="PG112" s="13"/>
      <c r="PH112" s="13"/>
      <c r="PI112" s="13"/>
      <c r="PJ112" s="13"/>
      <c r="PK112" s="13"/>
      <c r="PL112" s="13"/>
      <c r="PM112" s="13"/>
      <c r="PN112" s="13"/>
      <c r="PO112" s="13"/>
      <c r="PP112" s="13"/>
      <c r="PQ112" s="13"/>
      <c r="PR112" s="13"/>
      <c r="PS112" s="13"/>
      <c r="PT112" s="13"/>
      <c r="PU112" s="13"/>
      <c r="PV112" s="13"/>
      <c r="PW112" s="13"/>
    </row>
    <row r="113" spans="1:439" s="14" customFormat="1" x14ac:dyDescent="0.2">
      <c r="A113" s="88" t="s">
        <v>130</v>
      </c>
      <c r="B113" s="127" t="s">
        <v>32</v>
      </c>
      <c r="C113" s="138" t="s">
        <v>397</v>
      </c>
      <c r="D113" s="109" t="s">
        <v>1</v>
      </c>
      <c r="E113" s="110">
        <v>43</v>
      </c>
      <c r="F113" s="65">
        <v>2.37</v>
      </c>
      <c r="G113" s="65"/>
      <c r="H113" s="63">
        <f t="shared" si="69"/>
        <v>2.37</v>
      </c>
      <c r="I113" s="63">
        <f t="shared" si="70"/>
        <v>101.91000000000001</v>
      </c>
      <c r="J113" s="12">
        <f t="shared" si="0"/>
        <v>0.25</v>
      </c>
      <c r="K113" s="63">
        <f t="shared" si="71"/>
        <v>127.38750000000002</v>
      </c>
      <c r="L113" s="19">
        <f t="shared" si="68"/>
        <v>2.1243947276038057E-4</v>
      </c>
      <c r="M113" s="80"/>
      <c r="N113" s="80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  <c r="IQ113" s="13"/>
      <c r="IR113" s="13"/>
      <c r="IS113" s="13"/>
      <c r="IT113" s="13"/>
      <c r="IU113" s="13"/>
      <c r="IV113" s="13"/>
      <c r="IW113" s="13"/>
      <c r="IX113" s="13"/>
      <c r="IY113" s="13"/>
      <c r="IZ113" s="13"/>
      <c r="JA113" s="13"/>
      <c r="JB113" s="13"/>
      <c r="JC113" s="13"/>
      <c r="JD113" s="13"/>
      <c r="JE113" s="13"/>
      <c r="JF113" s="13"/>
      <c r="JG113" s="13"/>
      <c r="JH113" s="13"/>
      <c r="JI113" s="13"/>
      <c r="JJ113" s="13"/>
      <c r="JK113" s="13"/>
      <c r="JL113" s="13"/>
      <c r="JM113" s="13"/>
      <c r="JN113" s="13"/>
      <c r="JO113" s="13"/>
      <c r="JP113" s="13"/>
      <c r="JQ113" s="13"/>
      <c r="JR113" s="13"/>
      <c r="JS113" s="13"/>
      <c r="JT113" s="13"/>
      <c r="JU113" s="13"/>
      <c r="JV113" s="13"/>
      <c r="JW113" s="13"/>
      <c r="JX113" s="13"/>
      <c r="JY113" s="13"/>
      <c r="JZ113" s="13"/>
      <c r="KA113" s="13"/>
      <c r="KB113" s="13"/>
      <c r="KC113" s="13"/>
      <c r="KD113" s="13"/>
      <c r="KE113" s="13"/>
      <c r="KF113" s="13"/>
      <c r="KG113" s="13"/>
      <c r="KH113" s="13"/>
      <c r="KI113" s="13"/>
      <c r="KJ113" s="13"/>
      <c r="KK113" s="13"/>
      <c r="KL113" s="13"/>
      <c r="KM113" s="13"/>
      <c r="KN113" s="13"/>
      <c r="KO113" s="13"/>
      <c r="KP113" s="13"/>
      <c r="KQ113" s="13"/>
      <c r="KR113" s="13"/>
      <c r="KS113" s="13"/>
      <c r="KT113" s="13"/>
      <c r="KU113" s="13"/>
      <c r="KV113" s="13"/>
      <c r="KW113" s="13"/>
      <c r="KX113" s="13"/>
      <c r="KY113" s="13"/>
      <c r="KZ113" s="13"/>
      <c r="LA113" s="13"/>
      <c r="LB113" s="13"/>
      <c r="LC113" s="13"/>
      <c r="LD113" s="13"/>
      <c r="LE113" s="13"/>
      <c r="LF113" s="13"/>
      <c r="LG113" s="13"/>
      <c r="LH113" s="13"/>
      <c r="LI113" s="13"/>
      <c r="LJ113" s="13"/>
      <c r="LK113" s="13"/>
      <c r="LL113" s="13"/>
      <c r="LM113" s="13"/>
      <c r="LN113" s="13"/>
      <c r="LO113" s="13"/>
      <c r="LP113" s="13"/>
      <c r="LQ113" s="13"/>
      <c r="LR113" s="13"/>
      <c r="LS113" s="13"/>
      <c r="LT113" s="13"/>
      <c r="LU113" s="13"/>
      <c r="LV113" s="13"/>
      <c r="LW113" s="13"/>
      <c r="LX113" s="13"/>
      <c r="LY113" s="13"/>
      <c r="LZ113" s="13"/>
      <c r="MA113" s="13"/>
      <c r="MB113" s="13"/>
      <c r="MC113" s="13"/>
      <c r="MD113" s="13"/>
      <c r="ME113" s="13"/>
      <c r="MF113" s="13"/>
      <c r="MG113" s="13"/>
      <c r="MH113" s="13"/>
      <c r="MI113" s="13"/>
      <c r="MJ113" s="13"/>
      <c r="MK113" s="13"/>
      <c r="ML113" s="13"/>
      <c r="MM113" s="13"/>
      <c r="MN113" s="13"/>
      <c r="MO113" s="13"/>
      <c r="MP113" s="13"/>
      <c r="MQ113" s="13"/>
      <c r="MR113" s="13"/>
      <c r="MS113" s="13"/>
      <c r="MT113" s="13"/>
      <c r="MU113" s="13"/>
      <c r="MV113" s="13"/>
      <c r="MW113" s="13"/>
      <c r="MX113" s="13"/>
      <c r="MY113" s="13"/>
      <c r="MZ113" s="13"/>
      <c r="NA113" s="13"/>
      <c r="NB113" s="13"/>
      <c r="NC113" s="13"/>
      <c r="ND113" s="13"/>
      <c r="NE113" s="13"/>
      <c r="NF113" s="13"/>
      <c r="NG113" s="13"/>
      <c r="NH113" s="13"/>
      <c r="NI113" s="13"/>
      <c r="NJ113" s="13"/>
      <c r="NK113" s="13"/>
      <c r="NL113" s="13"/>
      <c r="NM113" s="13"/>
      <c r="NN113" s="13"/>
      <c r="NO113" s="13"/>
      <c r="NP113" s="13"/>
      <c r="NQ113" s="13"/>
      <c r="NR113" s="13"/>
      <c r="NS113" s="13"/>
      <c r="NT113" s="13"/>
      <c r="NU113" s="13"/>
      <c r="NV113" s="13"/>
      <c r="NW113" s="13"/>
      <c r="NX113" s="13"/>
      <c r="NY113" s="13"/>
      <c r="NZ113" s="13"/>
      <c r="OA113" s="13"/>
      <c r="OB113" s="13"/>
      <c r="OC113" s="13"/>
      <c r="OD113" s="13"/>
      <c r="OE113" s="13"/>
      <c r="OF113" s="13"/>
      <c r="OG113" s="13"/>
      <c r="OH113" s="13"/>
      <c r="OI113" s="13"/>
      <c r="OJ113" s="13"/>
      <c r="OK113" s="13"/>
      <c r="OL113" s="13"/>
      <c r="OM113" s="13"/>
      <c r="ON113" s="13"/>
      <c r="OO113" s="13"/>
      <c r="OP113" s="13"/>
      <c r="OQ113" s="13"/>
      <c r="OR113" s="13"/>
      <c r="OS113" s="13"/>
      <c r="OT113" s="13"/>
      <c r="OU113" s="13"/>
      <c r="OV113" s="13"/>
      <c r="OW113" s="13"/>
      <c r="OX113" s="13"/>
      <c r="OY113" s="13"/>
      <c r="OZ113" s="13"/>
      <c r="PA113" s="13"/>
      <c r="PB113" s="13"/>
      <c r="PC113" s="13"/>
      <c r="PD113" s="13"/>
      <c r="PE113" s="13"/>
      <c r="PF113" s="13"/>
      <c r="PG113" s="13"/>
      <c r="PH113" s="13"/>
      <c r="PI113" s="13"/>
      <c r="PJ113" s="13"/>
      <c r="PK113" s="13"/>
      <c r="PL113" s="13"/>
      <c r="PM113" s="13"/>
      <c r="PN113" s="13"/>
      <c r="PO113" s="13"/>
      <c r="PP113" s="13"/>
      <c r="PQ113" s="13"/>
      <c r="PR113" s="13"/>
      <c r="PS113" s="13"/>
      <c r="PT113" s="13"/>
      <c r="PU113" s="13"/>
      <c r="PV113" s="13"/>
      <c r="PW113" s="13"/>
    </row>
    <row r="114" spans="1:439" s="14" customFormat="1" x14ac:dyDescent="0.2">
      <c r="A114" s="88" t="s">
        <v>131</v>
      </c>
      <c r="B114" s="127" t="s">
        <v>429</v>
      </c>
      <c r="C114" s="138" t="s">
        <v>398</v>
      </c>
      <c r="D114" s="109" t="s">
        <v>1</v>
      </c>
      <c r="E114" s="110">
        <v>6</v>
      </c>
      <c r="F114" s="65">
        <f>6*36.15</f>
        <v>216.89999999999998</v>
      </c>
      <c r="G114" s="65"/>
      <c r="H114" s="63">
        <f t="shared" si="69"/>
        <v>216.89999999999998</v>
      </c>
      <c r="I114" s="63">
        <f t="shared" si="70"/>
        <v>1301.3999999999999</v>
      </c>
      <c r="J114" s="12">
        <f t="shared" si="0"/>
        <v>0.25</v>
      </c>
      <c r="K114" s="63">
        <f t="shared" si="71"/>
        <v>1626.7499999999998</v>
      </c>
      <c r="L114" s="19">
        <f t="shared" si="68"/>
        <v>2.7128714537372114E-3</v>
      </c>
      <c r="M114" s="80"/>
      <c r="N114" s="80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  <c r="IQ114" s="13"/>
      <c r="IR114" s="13"/>
      <c r="IS114" s="13"/>
      <c r="IT114" s="13"/>
      <c r="IU114" s="13"/>
      <c r="IV114" s="13"/>
      <c r="IW114" s="13"/>
      <c r="IX114" s="13"/>
      <c r="IY114" s="13"/>
      <c r="IZ114" s="13"/>
      <c r="JA114" s="13"/>
      <c r="JB114" s="13"/>
      <c r="JC114" s="13"/>
      <c r="JD114" s="13"/>
      <c r="JE114" s="13"/>
      <c r="JF114" s="13"/>
      <c r="JG114" s="13"/>
      <c r="JH114" s="13"/>
      <c r="JI114" s="13"/>
      <c r="JJ114" s="13"/>
      <c r="JK114" s="13"/>
      <c r="JL114" s="13"/>
      <c r="JM114" s="13"/>
      <c r="JN114" s="13"/>
      <c r="JO114" s="13"/>
      <c r="JP114" s="13"/>
      <c r="JQ114" s="13"/>
      <c r="JR114" s="13"/>
      <c r="JS114" s="13"/>
      <c r="JT114" s="13"/>
      <c r="JU114" s="13"/>
      <c r="JV114" s="13"/>
      <c r="JW114" s="13"/>
      <c r="JX114" s="13"/>
      <c r="JY114" s="13"/>
      <c r="JZ114" s="13"/>
      <c r="KA114" s="13"/>
      <c r="KB114" s="13"/>
      <c r="KC114" s="13"/>
      <c r="KD114" s="13"/>
      <c r="KE114" s="13"/>
      <c r="KF114" s="13"/>
      <c r="KG114" s="13"/>
      <c r="KH114" s="13"/>
      <c r="KI114" s="13"/>
      <c r="KJ114" s="13"/>
      <c r="KK114" s="13"/>
      <c r="KL114" s="13"/>
      <c r="KM114" s="13"/>
      <c r="KN114" s="13"/>
      <c r="KO114" s="13"/>
      <c r="KP114" s="13"/>
      <c r="KQ114" s="13"/>
      <c r="KR114" s="13"/>
      <c r="KS114" s="13"/>
      <c r="KT114" s="13"/>
      <c r="KU114" s="13"/>
      <c r="KV114" s="13"/>
      <c r="KW114" s="13"/>
      <c r="KX114" s="13"/>
      <c r="KY114" s="13"/>
      <c r="KZ114" s="13"/>
      <c r="LA114" s="13"/>
      <c r="LB114" s="13"/>
      <c r="LC114" s="13"/>
      <c r="LD114" s="13"/>
      <c r="LE114" s="13"/>
      <c r="LF114" s="13"/>
      <c r="LG114" s="13"/>
      <c r="LH114" s="13"/>
      <c r="LI114" s="13"/>
      <c r="LJ114" s="13"/>
      <c r="LK114" s="13"/>
      <c r="LL114" s="13"/>
      <c r="LM114" s="13"/>
      <c r="LN114" s="13"/>
      <c r="LO114" s="13"/>
      <c r="LP114" s="13"/>
      <c r="LQ114" s="13"/>
      <c r="LR114" s="13"/>
      <c r="LS114" s="13"/>
      <c r="LT114" s="13"/>
      <c r="LU114" s="13"/>
      <c r="LV114" s="13"/>
      <c r="LW114" s="13"/>
      <c r="LX114" s="13"/>
      <c r="LY114" s="13"/>
      <c r="LZ114" s="13"/>
      <c r="MA114" s="13"/>
      <c r="MB114" s="13"/>
      <c r="MC114" s="13"/>
      <c r="MD114" s="13"/>
      <c r="ME114" s="13"/>
      <c r="MF114" s="13"/>
      <c r="MG114" s="13"/>
      <c r="MH114" s="13"/>
      <c r="MI114" s="13"/>
      <c r="MJ114" s="13"/>
      <c r="MK114" s="13"/>
      <c r="ML114" s="13"/>
      <c r="MM114" s="13"/>
      <c r="MN114" s="13"/>
      <c r="MO114" s="13"/>
      <c r="MP114" s="13"/>
      <c r="MQ114" s="13"/>
      <c r="MR114" s="13"/>
      <c r="MS114" s="13"/>
      <c r="MT114" s="13"/>
      <c r="MU114" s="13"/>
      <c r="MV114" s="13"/>
      <c r="MW114" s="13"/>
      <c r="MX114" s="13"/>
      <c r="MY114" s="13"/>
      <c r="MZ114" s="13"/>
      <c r="NA114" s="13"/>
      <c r="NB114" s="13"/>
      <c r="NC114" s="13"/>
      <c r="ND114" s="13"/>
      <c r="NE114" s="13"/>
      <c r="NF114" s="13"/>
      <c r="NG114" s="13"/>
      <c r="NH114" s="13"/>
      <c r="NI114" s="13"/>
      <c r="NJ114" s="13"/>
      <c r="NK114" s="13"/>
      <c r="NL114" s="13"/>
      <c r="NM114" s="13"/>
      <c r="NN114" s="13"/>
      <c r="NO114" s="13"/>
      <c r="NP114" s="13"/>
      <c r="NQ114" s="13"/>
      <c r="NR114" s="13"/>
      <c r="NS114" s="13"/>
      <c r="NT114" s="13"/>
      <c r="NU114" s="13"/>
      <c r="NV114" s="13"/>
      <c r="NW114" s="13"/>
      <c r="NX114" s="13"/>
      <c r="NY114" s="13"/>
      <c r="NZ114" s="13"/>
      <c r="OA114" s="13"/>
      <c r="OB114" s="13"/>
      <c r="OC114" s="13"/>
      <c r="OD114" s="13"/>
      <c r="OE114" s="13"/>
      <c r="OF114" s="13"/>
      <c r="OG114" s="13"/>
      <c r="OH114" s="13"/>
      <c r="OI114" s="13"/>
      <c r="OJ114" s="13"/>
      <c r="OK114" s="13"/>
      <c r="OL114" s="13"/>
      <c r="OM114" s="13"/>
      <c r="ON114" s="13"/>
      <c r="OO114" s="13"/>
      <c r="OP114" s="13"/>
      <c r="OQ114" s="13"/>
      <c r="OR114" s="13"/>
      <c r="OS114" s="13"/>
      <c r="OT114" s="13"/>
      <c r="OU114" s="13"/>
      <c r="OV114" s="13"/>
      <c r="OW114" s="13"/>
      <c r="OX114" s="13"/>
      <c r="OY114" s="13"/>
      <c r="OZ114" s="13"/>
      <c r="PA114" s="13"/>
      <c r="PB114" s="13"/>
      <c r="PC114" s="13"/>
      <c r="PD114" s="13"/>
      <c r="PE114" s="13"/>
      <c r="PF114" s="13"/>
      <c r="PG114" s="13"/>
      <c r="PH114" s="13"/>
      <c r="PI114" s="13"/>
      <c r="PJ114" s="13"/>
      <c r="PK114" s="13"/>
      <c r="PL114" s="13"/>
      <c r="PM114" s="13"/>
      <c r="PN114" s="13"/>
      <c r="PO114" s="13"/>
      <c r="PP114" s="13"/>
      <c r="PQ114" s="13"/>
      <c r="PR114" s="13"/>
      <c r="PS114" s="13"/>
      <c r="PT114" s="13"/>
      <c r="PU114" s="13"/>
      <c r="PV114" s="13"/>
      <c r="PW114" s="13"/>
    </row>
    <row r="115" spans="1:439" s="24" customFormat="1" x14ac:dyDescent="0.2">
      <c r="A115" s="89"/>
      <c r="B115" s="130"/>
      <c r="C115" s="25"/>
      <c r="D115" s="27"/>
      <c r="E115" s="103"/>
      <c r="F115" s="180"/>
      <c r="G115" s="180"/>
      <c r="H115" s="180"/>
      <c r="I115" s="76"/>
      <c r="J115" s="77"/>
      <c r="K115" s="67"/>
      <c r="L115" s="42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  <c r="HV115" s="26"/>
      <c r="HW115" s="26"/>
      <c r="HX115" s="26"/>
      <c r="HY115" s="26"/>
      <c r="HZ115" s="26"/>
      <c r="IA115" s="26"/>
      <c r="IB115" s="26"/>
      <c r="IC115" s="26"/>
      <c r="ID115" s="26"/>
      <c r="IE115" s="26"/>
      <c r="IF115" s="26"/>
      <c r="IG115" s="26"/>
      <c r="IH115" s="26"/>
      <c r="II115" s="26"/>
      <c r="IJ115" s="26"/>
      <c r="IK115" s="26"/>
      <c r="IL115" s="26"/>
      <c r="IM115" s="26"/>
      <c r="IN115" s="26"/>
      <c r="IO115" s="26"/>
      <c r="IP115" s="26"/>
      <c r="IQ115" s="26"/>
      <c r="IR115" s="26"/>
      <c r="IS115" s="26"/>
      <c r="IT115" s="26"/>
      <c r="IU115" s="26"/>
      <c r="IV115" s="26"/>
      <c r="IW115" s="26"/>
      <c r="IX115" s="26"/>
      <c r="IY115" s="26"/>
      <c r="IZ115" s="26"/>
      <c r="JA115" s="26"/>
      <c r="JB115" s="26"/>
      <c r="JC115" s="26"/>
      <c r="JD115" s="26"/>
      <c r="JE115" s="26"/>
      <c r="JF115" s="26"/>
      <c r="JG115" s="26"/>
      <c r="JH115" s="26"/>
      <c r="JI115" s="26"/>
      <c r="JJ115" s="26"/>
      <c r="JK115" s="26"/>
      <c r="JL115" s="26"/>
      <c r="JM115" s="26"/>
      <c r="JN115" s="26"/>
      <c r="JO115" s="26"/>
      <c r="JP115" s="26"/>
      <c r="JQ115" s="26"/>
      <c r="JR115" s="26"/>
      <c r="JS115" s="26"/>
      <c r="JT115" s="26"/>
      <c r="JU115" s="26"/>
      <c r="JV115" s="26"/>
      <c r="JW115" s="26"/>
      <c r="JX115" s="26"/>
      <c r="JY115" s="26"/>
      <c r="JZ115" s="26"/>
      <c r="KA115" s="26"/>
      <c r="KB115" s="26"/>
      <c r="KC115" s="26"/>
      <c r="KD115" s="26"/>
      <c r="KE115" s="26"/>
      <c r="KF115" s="26"/>
      <c r="KG115" s="26"/>
      <c r="KH115" s="26"/>
      <c r="KI115" s="26"/>
      <c r="KJ115" s="26"/>
      <c r="KK115" s="26"/>
      <c r="KL115" s="26"/>
      <c r="KM115" s="26"/>
      <c r="KN115" s="26"/>
      <c r="KO115" s="26"/>
      <c r="KP115" s="26"/>
      <c r="KQ115" s="26"/>
      <c r="KR115" s="26"/>
      <c r="KS115" s="26"/>
      <c r="KT115" s="26"/>
      <c r="KU115" s="26"/>
      <c r="KV115" s="26"/>
      <c r="KW115" s="26"/>
      <c r="KX115" s="26"/>
      <c r="KY115" s="26"/>
      <c r="KZ115" s="26"/>
      <c r="LA115" s="26"/>
      <c r="LB115" s="26"/>
      <c r="LC115" s="26"/>
      <c r="LD115" s="26"/>
      <c r="LE115" s="26"/>
      <c r="LF115" s="26"/>
      <c r="LG115" s="26"/>
      <c r="LH115" s="26"/>
      <c r="LI115" s="26"/>
      <c r="LJ115" s="26"/>
      <c r="LK115" s="26"/>
      <c r="LL115" s="26"/>
      <c r="LM115" s="26"/>
      <c r="LN115" s="26"/>
      <c r="LO115" s="26"/>
      <c r="LP115" s="26"/>
      <c r="LQ115" s="26"/>
      <c r="LR115" s="26"/>
      <c r="LS115" s="26"/>
      <c r="LT115" s="26"/>
      <c r="LU115" s="26"/>
      <c r="LV115" s="26"/>
      <c r="LW115" s="26"/>
      <c r="LX115" s="26"/>
      <c r="LY115" s="26"/>
      <c r="LZ115" s="26"/>
      <c r="MA115" s="26"/>
      <c r="MB115" s="26"/>
      <c r="MC115" s="26"/>
      <c r="MD115" s="26"/>
      <c r="ME115" s="26"/>
      <c r="MF115" s="26"/>
      <c r="MG115" s="26"/>
      <c r="MH115" s="26"/>
      <c r="MI115" s="26"/>
      <c r="MJ115" s="26"/>
      <c r="MK115" s="26"/>
      <c r="ML115" s="26"/>
      <c r="MM115" s="26"/>
      <c r="MN115" s="26"/>
      <c r="MO115" s="26"/>
      <c r="MP115" s="26"/>
      <c r="MQ115" s="26"/>
      <c r="MR115" s="26"/>
      <c r="MS115" s="26"/>
      <c r="MT115" s="26"/>
      <c r="MU115" s="26"/>
      <c r="MV115" s="26"/>
      <c r="MW115" s="26"/>
      <c r="MX115" s="26"/>
      <c r="MY115" s="26"/>
      <c r="MZ115" s="26"/>
      <c r="NA115" s="26"/>
      <c r="NB115" s="26"/>
      <c r="NC115" s="26"/>
      <c r="ND115" s="26"/>
      <c r="NE115" s="26"/>
      <c r="NF115" s="26"/>
      <c r="NG115" s="26"/>
      <c r="NH115" s="26"/>
      <c r="NI115" s="26"/>
      <c r="NJ115" s="26"/>
      <c r="NK115" s="26"/>
      <c r="NL115" s="26"/>
      <c r="NM115" s="26"/>
      <c r="NN115" s="26"/>
      <c r="NO115" s="26"/>
      <c r="NP115" s="26"/>
      <c r="NQ115" s="26"/>
      <c r="NR115" s="26"/>
      <c r="NS115" s="26"/>
      <c r="NT115" s="26"/>
      <c r="NU115" s="26"/>
      <c r="NV115" s="26"/>
      <c r="NW115" s="26"/>
      <c r="NX115" s="26"/>
      <c r="NY115" s="26"/>
      <c r="NZ115" s="26"/>
      <c r="OA115" s="26"/>
      <c r="OB115" s="26"/>
      <c r="OC115" s="26"/>
      <c r="OD115" s="26"/>
      <c r="OE115" s="26"/>
      <c r="OF115" s="26"/>
      <c r="OG115" s="26"/>
      <c r="OH115" s="26"/>
      <c r="OI115" s="26"/>
      <c r="OJ115" s="26"/>
      <c r="OK115" s="26"/>
      <c r="OL115" s="26"/>
      <c r="OM115" s="26"/>
      <c r="ON115" s="26"/>
      <c r="OO115" s="26"/>
      <c r="OP115" s="26"/>
      <c r="OQ115" s="26"/>
      <c r="OR115" s="26"/>
      <c r="OS115" s="26"/>
      <c r="OT115" s="26"/>
      <c r="OU115" s="26"/>
      <c r="OV115" s="26"/>
      <c r="OW115" s="26"/>
      <c r="OX115" s="26"/>
      <c r="OY115" s="26"/>
      <c r="OZ115" s="26"/>
      <c r="PA115" s="26"/>
      <c r="PB115" s="26"/>
      <c r="PC115" s="26"/>
      <c r="PD115" s="26"/>
      <c r="PE115" s="26"/>
      <c r="PF115" s="26"/>
      <c r="PG115" s="26"/>
      <c r="PH115" s="26"/>
      <c r="PI115" s="26"/>
      <c r="PJ115" s="26"/>
      <c r="PK115" s="26"/>
      <c r="PL115" s="26"/>
      <c r="PM115" s="26"/>
      <c r="PN115" s="26"/>
      <c r="PO115" s="26"/>
      <c r="PP115" s="26"/>
      <c r="PQ115" s="26"/>
      <c r="PR115" s="26"/>
      <c r="PS115" s="26"/>
      <c r="PT115" s="26"/>
      <c r="PU115" s="26"/>
      <c r="PV115" s="26"/>
      <c r="PW115" s="26"/>
    </row>
    <row r="116" spans="1:439" s="23" customFormat="1" ht="15" customHeight="1" x14ac:dyDescent="0.2">
      <c r="A116" s="27"/>
      <c r="B116" s="131"/>
      <c r="C116" s="190" t="s">
        <v>67</v>
      </c>
      <c r="D116" s="190"/>
      <c r="E116" s="190"/>
      <c r="F116" s="111"/>
      <c r="G116" s="124"/>
      <c r="H116" s="94"/>
      <c r="I116" s="56"/>
      <c r="J116" s="28"/>
      <c r="K116" s="66"/>
      <c r="L116" s="41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22"/>
      <c r="IN116" s="22"/>
      <c r="IO116" s="22"/>
      <c r="IP116" s="22"/>
      <c r="IQ116" s="22"/>
      <c r="IR116" s="22"/>
      <c r="IS116" s="22"/>
      <c r="IT116" s="22"/>
      <c r="IU116" s="22"/>
      <c r="IV116" s="22"/>
      <c r="IW116" s="22"/>
      <c r="IX116" s="22"/>
      <c r="IY116" s="22"/>
      <c r="IZ116" s="22"/>
      <c r="JA116" s="22"/>
      <c r="JB116" s="22"/>
      <c r="JC116" s="22"/>
      <c r="JD116" s="22"/>
      <c r="JE116" s="22"/>
      <c r="JF116" s="22"/>
      <c r="JG116" s="22"/>
      <c r="JH116" s="22"/>
      <c r="JI116" s="22"/>
      <c r="JJ116" s="22"/>
      <c r="JK116" s="22"/>
      <c r="JL116" s="22"/>
      <c r="JM116" s="22"/>
      <c r="JN116" s="22"/>
      <c r="JO116" s="22"/>
      <c r="JP116" s="22"/>
      <c r="JQ116" s="22"/>
      <c r="JR116" s="22"/>
      <c r="JS116" s="22"/>
      <c r="JT116" s="22"/>
      <c r="JU116" s="22"/>
      <c r="JV116" s="22"/>
      <c r="JW116" s="22"/>
      <c r="JX116" s="22"/>
      <c r="JY116" s="22"/>
      <c r="JZ116" s="22"/>
      <c r="KA116" s="22"/>
      <c r="KB116" s="22"/>
      <c r="KC116" s="22"/>
      <c r="KD116" s="22"/>
      <c r="KE116" s="22"/>
      <c r="KF116" s="22"/>
      <c r="KG116" s="22"/>
      <c r="KH116" s="22"/>
      <c r="KI116" s="22"/>
      <c r="KJ116" s="22"/>
      <c r="KK116" s="22"/>
      <c r="KL116" s="22"/>
      <c r="KM116" s="22"/>
      <c r="KN116" s="22"/>
      <c r="KO116" s="22"/>
      <c r="KP116" s="22"/>
      <c r="KQ116" s="22"/>
      <c r="KR116" s="22"/>
      <c r="KS116" s="22"/>
      <c r="KT116" s="22"/>
      <c r="KU116" s="22"/>
      <c r="KV116" s="22"/>
      <c r="KW116" s="22"/>
      <c r="KX116" s="22"/>
      <c r="KY116" s="22"/>
      <c r="KZ116" s="22"/>
      <c r="LA116" s="22"/>
      <c r="LB116" s="22"/>
      <c r="LC116" s="22"/>
      <c r="LD116" s="22"/>
      <c r="LE116" s="22"/>
      <c r="LF116" s="22"/>
      <c r="LG116" s="22"/>
      <c r="LH116" s="22"/>
      <c r="LI116" s="22"/>
      <c r="LJ116" s="22"/>
      <c r="LK116" s="22"/>
      <c r="LL116" s="22"/>
      <c r="LM116" s="22"/>
      <c r="LN116" s="22"/>
      <c r="LO116" s="22"/>
      <c r="LP116" s="22"/>
      <c r="LQ116" s="22"/>
      <c r="LR116" s="22"/>
      <c r="LS116" s="22"/>
      <c r="LT116" s="22"/>
      <c r="LU116" s="22"/>
      <c r="LV116" s="22"/>
      <c r="LW116" s="22"/>
      <c r="LX116" s="22"/>
      <c r="LY116" s="22"/>
      <c r="LZ116" s="22"/>
      <c r="MA116" s="22"/>
      <c r="MB116" s="22"/>
      <c r="MC116" s="22"/>
      <c r="MD116" s="22"/>
      <c r="ME116" s="22"/>
      <c r="MF116" s="22"/>
      <c r="MG116" s="22"/>
      <c r="MH116" s="22"/>
      <c r="MI116" s="22"/>
      <c r="MJ116" s="22"/>
      <c r="MK116" s="22"/>
      <c r="ML116" s="22"/>
      <c r="MM116" s="22"/>
      <c r="MN116" s="22"/>
      <c r="MO116" s="22"/>
      <c r="MP116" s="22"/>
      <c r="MQ116" s="22"/>
      <c r="MR116" s="22"/>
      <c r="MS116" s="22"/>
      <c r="MT116" s="22"/>
      <c r="MU116" s="22"/>
      <c r="MV116" s="22"/>
      <c r="MW116" s="22"/>
      <c r="MX116" s="22"/>
      <c r="MY116" s="22"/>
      <c r="MZ116" s="22"/>
      <c r="NA116" s="22"/>
      <c r="NB116" s="22"/>
      <c r="NC116" s="22"/>
      <c r="ND116" s="22"/>
      <c r="NE116" s="22"/>
      <c r="NF116" s="22"/>
      <c r="NG116" s="22"/>
      <c r="NH116" s="22"/>
      <c r="NI116" s="22"/>
      <c r="NJ116" s="22"/>
      <c r="NK116" s="22"/>
      <c r="NL116" s="22"/>
      <c r="NM116" s="22"/>
      <c r="NN116" s="22"/>
      <c r="NO116" s="22"/>
      <c r="NP116" s="22"/>
      <c r="NQ116" s="22"/>
      <c r="NR116" s="22"/>
      <c r="NS116" s="22"/>
      <c r="NT116" s="22"/>
      <c r="NU116" s="22"/>
      <c r="NV116" s="22"/>
      <c r="NW116" s="22"/>
      <c r="NX116" s="22"/>
      <c r="NY116" s="22"/>
      <c r="NZ116" s="22"/>
      <c r="OA116" s="22"/>
      <c r="OB116" s="22"/>
      <c r="OC116" s="22"/>
      <c r="OD116" s="22"/>
      <c r="OE116" s="22"/>
      <c r="OF116" s="22"/>
      <c r="OG116" s="22"/>
      <c r="OH116" s="22"/>
      <c r="OI116" s="22"/>
      <c r="OJ116" s="22"/>
      <c r="OK116" s="22"/>
      <c r="OL116" s="22"/>
      <c r="OM116" s="22"/>
      <c r="ON116" s="22"/>
      <c r="OO116" s="22"/>
      <c r="OP116" s="22"/>
      <c r="OQ116" s="22"/>
      <c r="OR116" s="22"/>
      <c r="OS116" s="22"/>
      <c r="OT116" s="22"/>
      <c r="OU116" s="22"/>
      <c r="OV116" s="22"/>
      <c r="OW116" s="22"/>
      <c r="OX116" s="22"/>
      <c r="OY116" s="22"/>
      <c r="OZ116" s="22"/>
      <c r="PA116" s="22"/>
      <c r="PB116" s="22"/>
      <c r="PC116" s="22"/>
      <c r="PD116" s="22"/>
      <c r="PE116" s="22"/>
      <c r="PF116" s="22"/>
      <c r="PG116" s="22"/>
      <c r="PH116" s="22"/>
      <c r="PI116" s="22"/>
      <c r="PJ116" s="22"/>
      <c r="PK116" s="22"/>
      <c r="PL116" s="22"/>
      <c r="PM116" s="22"/>
      <c r="PN116" s="22"/>
      <c r="PO116" s="22"/>
      <c r="PP116" s="22"/>
      <c r="PQ116" s="22"/>
      <c r="PR116" s="22"/>
      <c r="PS116" s="22"/>
      <c r="PT116" s="22"/>
      <c r="PU116" s="22"/>
      <c r="PV116" s="22"/>
      <c r="PW116" s="22"/>
    </row>
    <row r="117" spans="1:439" s="26" customFormat="1" ht="13.5" thickBot="1" x14ac:dyDescent="0.25">
      <c r="A117" s="84"/>
      <c r="B117" s="132"/>
      <c r="C117" s="187" t="s">
        <v>426</v>
      </c>
      <c r="D117" s="187"/>
      <c r="E117" s="187"/>
      <c r="F117" s="180"/>
      <c r="G117" s="180"/>
      <c r="H117" s="47"/>
      <c r="I117" s="95"/>
      <c r="K117" s="67"/>
      <c r="L117" s="42"/>
    </row>
    <row r="118" spans="1:439" s="24" customFormat="1" ht="13.5" thickBot="1" x14ac:dyDescent="0.3">
      <c r="A118" s="90"/>
      <c r="B118" s="188"/>
      <c r="C118" s="194" t="s">
        <v>363</v>
      </c>
      <c r="D118" s="194"/>
      <c r="E118" s="194"/>
      <c r="F118" s="115"/>
      <c r="G118" s="125"/>
      <c r="H118" s="79"/>
      <c r="I118" s="183" t="s">
        <v>13</v>
      </c>
      <c r="J118" s="184"/>
      <c r="K118" s="78">
        <f>K13+K10+K6</f>
        <v>599641.38653123914</v>
      </c>
      <c r="L118" s="40">
        <f>L13+L10+L6</f>
        <v>1.0000000000000002</v>
      </c>
      <c r="M118" s="81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  <c r="GP118" s="26"/>
      <c r="GQ118" s="26"/>
      <c r="GR118" s="26"/>
      <c r="GS118" s="26"/>
      <c r="GT118" s="26"/>
      <c r="GU118" s="26"/>
      <c r="GV118" s="26"/>
      <c r="GW118" s="26"/>
      <c r="GX118" s="26"/>
      <c r="GY118" s="26"/>
      <c r="GZ118" s="26"/>
      <c r="HA118" s="26"/>
      <c r="HB118" s="26"/>
      <c r="HC118" s="26"/>
      <c r="HD118" s="26"/>
      <c r="HE118" s="26"/>
      <c r="HF118" s="26"/>
      <c r="HG118" s="26"/>
      <c r="HH118" s="26"/>
      <c r="HI118" s="26"/>
      <c r="HJ118" s="26"/>
      <c r="HK118" s="26"/>
      <c r="HL118" s="26"/>
      <c r="HM118" s="26"/>
      <c r="HN118" s="26"/>
      <c r="HO118" s="26"/>
      <c r="HP118" s="26"/>
      <c r="HQ118" s="26"/>
      <c r="HR118" s="26"/>
      <c r="HS118" s="26"/>
      <c r="HT118" s="26"/>
      <c r="HU118" s="26"/>
      <c r="HV118" s="26"/>
      <c r="HW118" s="26"/>
      <c r="HX118" s="26"/>
      <c r="HY118" s="26"/>
      <c r="HZ118" s="26"/>
      <c r="IA118" s="26"/>
      <c r="IB118" s="26"/>
      <c r="IC118" s="26"/>
      <c r="ID118" s="26"/>
      <c r="IE118" s="26"/>
      <c r="IF118" s="26"/>
      <c r="IG118" s="26"/>
      <c r="IH118" s="26"/>
      <c r="II118" s="26"/>
      <c r="IJ118" s="26"/>
      <c r="IK118" s="26"/>
      <c r="IL118" s="26"/>
      <c r="IM118" s="26"/>
      <c r="IN118" s="26"/>
      <c r="IO118" s="26"/>
      <c r="IP118" s="26"/>
      <c r="IQ118" s="26"/>
      <c r="IR118" s="26"/>
      <c r="IS118" s="26"/>
      <c r="IT118" s="26"/>
      <c r="IU118" s="26"/>
      <c r="IV118" s="26"/>
      <c r="IW118" s="26"/>
      <c r="IX118" s="26"/>
      <c r="IY118" s="26"/>
      <c r="IZ118" s="26"/>
      <c r="JA118" s="26"/>
      <c r="JB118" s="26"/>
      <c r="JC118" s="26"/>
      <c r="JD118" s="26"/>
      <c r="JE118" s="26"/>
      <c r="JF118" s="26"/>
      <c r="JG118" s="26"/>
      <c r="JH118" s="26"/>
      <c r="JI118" s="26"/>
      <c r="JJ118" s="26"/>
      <c r="JK118" s="26"/>
      <c r="JL118" s="26"/>
      <c r="JM118" s="26"/>
      <c r="JN118" s="26"/>
      <c r="JO118" s="26"/>
      <c r="JP118" s="26"/>
      <c r="JQ118" s="26"/>
      <c r="JR118" s="26"/>
      <c r="JS118" s="26"/>
      <c r="JT118" s="26"/>
      <c r="JU118" s="26"/>
      <c r="JV118" s="26"/>
      <c r="JW118" s="26"/>
      <c r="JX118" s="26"/>
      <c r="JY118" s="26"/>
      <c r="JZ118" s="26"/>
      <c r="KA118" s="26"/>
      <c r="KB118" s="26"/>
      <c r="KC118" s="26"/>
      <c r="KD118" s="26"/>
      <c r="KE118" s="26"/>
      <c r="KF118" s="26"/>
      <c r="KG118" s="26"/>
      <c r="KH118" s="26"/>
      <c r="KI118" s="26"/>
      <c r="KJ118" s="26"/>
      <c r="KK118" s="26"/>
      <c r="KL118" s="26"/>
      <c r="KM118" s="26"/>
      <c r="KN118" s="26"/>
      <c r="KO118" s="26"/>
      <c r="KP118" s="26"/>
      <c r="KQ118" s="26"/>
      <c r="KR118" s="26"/>
      <c r="KS118" s="26"/>
      <c r="KT118" s="26"/>
      <c r="KU118" s="26"/>
      <c r="KV118" s="26"/>
      <c r="KW118" s="26"/>
      <c r="KX118" s="26"/>
      <c r="KY118" s="26"/>
      <c r="KZ118" s="26"/>
      <c r="LA118" s="26"/>
      <c r="LB118" s="26"/>
      <c r="LC118" s="26"/>
      <c r="LD118" s="26"/>
      <c r="LE118" s="26"/>
      <c r="LF118" s="26"/>
      <c r="LG118" s="26"/>
      <c r="LH118" s="26"/>
      <c r="LI118" s="26"/>
      <c r="LJ118" s="26"/>
      <c r="LK118" s="26"/>
      <c r="LL118" s="26"/>
      <c r="LM118" s="26"/>
      <c r="LN118" s="26"/>
      <c r="LO118" s="26"/>
      <c r="LP118" s="26"/>
      <c r="LQ118" s="26"/>
      <c r="LR118" s="26"/>
      <c r="LS118" s="26"/>
      <c r="LT118" s="26"/>
      <c r="LU118" s="26"/>
      <c r="LV118" s="26"/>
      <c r="LW118" s="26"/>
      <c r="LX118" s="26"/>
      <c r="LY118" s="26"/>
      <c r="LZ118" s="26"/>
      <c r="MA118" s="26"/>
      <c r="MB118" s="26"/>
      <c r="MC118" s="26"/>
      <c r="MD118" s="26"/>
      <c r="ME118" s="26"/>
      <c r="MF118" s="26"/>
      <c r="MG118" s="26"/>
      <c r="MH118" s="26"/>
      <c r="MI118" s="26"/>
      <c r="MJ118" s="26"/>
      <c r="MK118" s="26"/>
      <c r="ML118" s="26"/>
      <c r="MM118" s="26"/>
      <c r="MN118" s="26"/>
      <c r="MO118" s="26"/>
      <c r="MP118" s="26"/>
      <c r="MQ118" s="26"/>
      <c r="MR118" s="26"/>
      <c r="MS118" s="26"/>
      <c r="MT118" s="26"/>
      <c r="MU118" s="26"/>
      <c r="MV118" s="26"/>
      <c r="MW118" s="26"/>
      <c r="MX118" s="26"/>
      <c r="MY118" s="26"/>
      <c r="MZ118" s="26"/>
      <c r="NA118" s="26"/>
      <c r="NB118" s="26"/>
      <c r="NC118" s="26"/>
      <c r="ND118" s="26"/>
      <c r="NE118" s="26"/>
      <c r="NF118" s="26"/>
      <c r="NG118" s="26"/>
      <c r="NH118" s="26"/>
      <c r="NI118" s="26"/>
      <c r="NJ118" s="26"/>
      <c r="NK118" s="26"/>
      <c r="NL118" s="26"/>
      <c r="NM118" s="26"/>
      <c r="NN118" s="26"/>
      <c r="NO118" s="26"/>
      <c r="NP118" s="26"/>
      <c r="NQ118" s="26"/>
      <c r="NR118" s="26"/>
      <c r="NS118" s="26"/>
      <c r="NT118" s="26"/>
      <c r="NU118" s="26"/>
      <c r="NV118" s="26"/>
      <c r="NW118" s="26"/>
      <c r="NX118" s="26"/>
      <c r="NY118" s="26"/>
      <c r="NZ118" s="26"/>
      <c r="OA118" s="26"/>
      <c r="OB118" s="26"/>
      <c r="OC118" s="26"/>
      <c r="OD118" s="26"/>
      <c r="OE118" s="26"/>
      <c r="OF118" s="26"/>
      <c r="OG118" s="26"/>
      <c r="OH118" s="26"/>
      <c r="OI118" s="26"/>
      <c r="OJ118" s="26"/>
      <c r="OK118" s="26"/>
      <c r="OL118" s="26"/>
      <c r="OM118" s="26"/>
      <c r="ON118" s="26"/>
      <c r="OO118" s="26"/>
      <c r="OP118" s="26"/>
      <c r="OQ118" s="26"/>
      <c r="OR118" s="26"/>
      <c r="OS118" s="26"/>
      <c r="OT118" s="26"/>
      <c r="OU118" s="26"/>
      <c r="OV118" s="26"/>
      <c r="OW118" s="26"/>
      <c r="OX118" s="26"/>
      <c r="OY118" s="26"/>
      <c r="OZ118" s="26"/>
      <c r="PA118" s="26"/>
      <c r="PB118" s="26"/>
      <c r="PC118" s="26"/>
      <c r="PD118" s="26"/>
      <c r="PE118" s="26"/>
      <c r="PF118" s="26"/>
      <c r="PG118" s="26"/>
      <c r="PH118" s="26"/>
      <c r="PI118" s="26"/>
      <c r="PJ118" s="26"/>
      <c r="PK118" s="26"/>
      <c r="PL118" s="26"/>
      <c r="PM118" s="26"/>
      <c r="PN118" s="26"/>
      <c r="PO118" s="26"/>
      <c r="PP118" s="26"/>
      <c r="PQ118" s="26"/>
      <c r="PR118" s="26"/>
      <c r="PS118" s="26"/>
      <c r="PT118" s="26"/>
      <c r="PU118" s="26"/>
      <c r="PV118" s="26"/>
      <c r="PW118" s="26"/>
    </row>
    <row r="119" spans="1:439" x14ac:dyDescent="0.2">
      <c r="A119" s="91"/>
      <c r="B119" s="188"/>
      <c r="C119" s="194" t="s">
        <v>364</v>
      </c>
      <c r="D119" s="194"/>
      <c r="E119" s="194"/>
      <c r="F119" s="111"/>
      <c r="G119" s="57"/>
      <c r="H119" s="50"/>
      <c r="I119" s="50"/>
      <c r="J119" s="29"/>
      <c r="K119" s="68"/>
      <c r="L119" s="43"/>
    </row>
    <row r="120" spans="1:439" x14ac:dyDescent="0.2">
      <c r="A120" s="91"/>
      <c r="B120" s="132"/>
      <c r="C120" s="189" t="s">
        <v>365</v>
      </c>
      <c r="D120" s="189"/>
      <c r="E120" s="189"/>
      <c r="F120" s="111"/>
      <c r="G120" s="57"/>
      <c r="H120" s="50"/>
      <c r="I120" s="50"/>
      <c r="J120" s="29"/>
      <c r="K120" s="68"/>
      <c r="L120" s="44"/>
    </row>
    <row r="121" spans="1:439" x14ac:dyDescent="0.2">
      <c r="A121" s="91"/>
      <c r="B121" s="133"/>
      <c r="C121" s="136" t="s">
        <v>366</v>
      </c>
      <c r="D121" s="191">
        <v>59</v>
      </c>
      <c r="E121" s="192"/>
      <c r="F121" s="111"/>
      <c r="G121" s="57"/>
      <c r="H121" s="50"/>
      <c r="I121" s="50"/>
      <c r="J121" s="29"/>
      <c r="K121" s="68"/>
      <c r="L121" s="44"/>
    </row>
    <row r="122" spans="1:439" ht="36.75" customHeight="1" x14ac:dyDescent="0.2">
      <c r="A122" s="91"/>
      <c r="B122" s="133"/>
      <c r="C122" s="193"/>
      <c r="D122" s="193"/>
      <c r="E122" s="193"/>
      <c r="F122" s="111"/>
      <c r="G122" s="57"/>
      <c r="H122" s="50"/>
      <c r="I122" s="50"/>
      <c r="J122" s="29"/>
      <c r="K122" s="68"/>
      <c r="L122" s="44"/>
    </row>
    <row r="123" spans="1:439" x14ac:dyDescent="0.2">
      <c r="A123" s="91"/>
      <c r="B123" s="133"/>
      <c r="C123" s="30"/>
      <c r="D123" s="83"/>
      <c r="E123" s="104"/>
      <c r="F123" s="111"/>
      <c r="G123" s="57"/>
      <c r="H123" s="50"/>
      <c r="I123" s="50"/>
      <c r="J123" s="29"/>
      <c r="K123" s="68"/>
      <c r="L123" s="44"/>
    </row>
    <row r="124" spans="1:439" ht="13.5" thickBot="1" x14ac:dyDescent="0.25">
      <c r="A124" s="91"/>
      <c r="B124" s="133"/>
      <c r="C124" s="32"/>
      <c r="D124" s="83"/>
      <c r="E124" s="104"/>
      <c r="F124" s="111"/>
      <c r="G124" s="58"/>
      <c r="H124" s="53"/>
      <c r="I124" s="53"/>
      <c r="J124" s="33"/>
      <c r="K124" s="68"/>
      <c r="L124" s="44"/>
    </row>
    <row r="125" spans="1:439" x14ac:dyDescent="0.2">
      <c r="A125" s="91"/>
      <c r="B125" s="133"/>
      <c r="C125" s="46" t="s">
        <v>14</v>
      </c>
      <c r="D125" s="83"/>
      <c r="E125" s="104"/>
      <c r="F125" s="111"/>
      <c r="G125" s="179" t="s">
        <v>360</v>
      </c>
      <c r="H125" s="179"/>
      <c r="I125" s="179"/>
      <c r="J125" s="179"/>
      <c r="K125" s="68"/>
      <c r="L125" s="44"/>
    </row>
    <row r="126" spans="1:439" ht="12.75" customHeight="1" x14ac:dyDescent="0.2">
      <c r="A126" s="91"/>
      <c r="B126" s="133"/>
      <c r="C126" s="30"/>
      <c r="D126" s="83"/>
      <c r="E126" s="104"/>
      <c r="F126" s="111"/>
      <c r="G126" s="178" t="s">
        <v>361</v>
      </c>
      <c r="H126" s="178"/>
      <c r="I126" s="178"/>
      <c r="J126" s="178"/>
      <c r="K126" s="68"/>
      <c r="L126" s="44"/>
    </row>
    <row r="127" spans="1:439" ht="13.5" thickBot="1" x14ac:dyDescent="0.25">
      <c r="A127" s="92"/>
      <c r="B127" s="134"/>
      <c r="C127" s="32"/>
      <c r="D127" s="31"/>
      <c r="E127" s="105"/>
      <c r="F127" s="113"/>
      <c r="G127" s="58"/>
      <c r="H127" s="53"/>
      <c r="I127" s="53"/>
      <c r="J127" s="33"/>
      <c r="K127" s="69"/>
      <c r="L127" s="45"/>
    </row>
    <row r="130" spans="1:439" x14ac:dyDescent="0.2">
      <c r="A130" s="1"/>
      <c r="C130" s="37"/>
      <c r="G130" s="61"/>
      <c r="H130" s="61"/>
      <c r="I130" s="61"/>
      <c r="J130" s="1"/>
      <c r="K130" s="71"/>
      <c r="L130" s="2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  <c r="IY130" s="1"/>
      <c r="IZ130" s="1"/>
      <c r="JA130" s="1"/>
      <c r="JB130" s="1"/>
      <c r="JC130" s="1"/>
      <c r="JD130" s="1"/>
      <c r="JE130" s="1"/>
      <c r="JF130" s="1"/>
      <c r="JG130" s="1"/>
      <c r="JH130" s="1"/>
      <c r="JI130" s="1"/>
      <c r="JJ130" s="1"/>
      <c r="JK130" s="1"/>
      <c r="JL130" s="1"/>
      <c r="JM130" s="1"/>
      <c r="JN130" s="1"/>
      <c r="JO130" s="1"/>
      <c r="JP130" s="1"/>
      <c r="JQ130" s="1"/>
      <c r="JR130" s="1"/>
      <c r="JS130" s="1"/>
      <c r="JT130" s="1"/>
      <c r="JU130" s="1"/>
      <c r="JV130" s="1"/>
      <c r="JW130" s="1"/>
      <c r="JX130" s="1"/>
      <c r="JY130" s="1"/>
      <c r="JZ130" s="1"/>
      <c r="KA130" s="1"/>
      <c r="KB130" s="1"/>
      <c r="KC130" s="1"/>
      <c r="KD130" s="1"/>
      <c r="KE130" s="1"/>
      <c r="KF130" s="1"/>
      <c r="KG130" s="1"/>
      <c r="KH130" s="1"/>
      <c r="KI130" s="1"/>
      <c r="KJ130" s="1"/>
      <c r="KK130" s="1"/>
      <c r="KL130" s="1"/>
      <c r="KM130" s="1"/>
      <c r="KN130" s="1"/>
      <c r="KO130" s="1"/>
      <c r="KP130" s="1"/>
      <c r="KQ130" s="1"/>
      <c r="KR130" s="1"/>
      <c r="KS130" s="1"/>
      <c r="KT130" s="1"/>
      <c r="KU130" s="1"/>
      <c r="KV130" s="1"/>
      <c r="KW130" s="1"/>
      <c r="KX130" s="1"/>
      <c r="KY130" s="1"/>
      <c r="KZ130" s="1"/>
      <c r="LA130" s="1"/>
      <c r="LB130" s="1"/>
      <c r="LC130" s="1"/>
      <c r="LD130" s="1"/>
      <c r="LE130" s="1"/>
      <c r="LF130" s="1"/>
      <c r="LG130" s="1"/>
      <c r="LH130" s="1"/>
      <c r="LI130" s="1"/>
      <c r="LJ130" s="1"/>
      <c r="LK130" s="1"/>
      <c r="LL130" s="1"/>
      <c r="LM130" s="1"/>
      <c r="LN130" s="1"/>
      <c r="LO130" s="1"/>
      <c r="LP130" s="1"/>
      <c r="LQ130" s="1"/>
      <c r="LR130" s="1"/>
      <c r="LS130" s="1"/>
      <c r="LT130" s="1"/>
      <c r="LU130" s="1"/>
      <c r="LV130" s="1"/>
      <c r="LW130" s="1"/>
      <c r="LX130" s="1"/>
      <c r="LY130" s="1"/>
      <c r="LZ130" s="1"/>
      <c r="MA130" s="1"/>
      <c r="MB130" s="1"/>
      <c r="MC130" s="1"/>
      <c r="MD130" s="1"/>
      <c r="ME130" s="1"/>
      <c r="MF130" s="1"/>
      <c r="MG130" s="1"/>
      <c r="MH130" s="1"/>
      <c r="MI130" s="1"/>
      <c r="MJ130" s="1"/>
      <c r="MK130" s="1"/>
      <c r="ML130" s="1"/>
      <c r="MM130" s="1"/>
      <c r="MN130" s="1"/>
      <c r="MO130" s="1"/>
      <c r="MP130" s="1"/>
      <c r="MQ130" s="1"/>
      <c r="MR130" s="1"/>
      <c r="MS130" s="1"/>
      <c r="MT130" s="1"/>
      <c r="MU130" s="1"/>
      <c r="MV130" s="1"/>
      <c r="MW130" s="1"/>
      <c r="MX130" s="1"/>
      <c r="MY130" s="1"/>
      <c r="MZ130" s="1"/>
      <c r="NA130" s="1"/>
      <c r="NB130" s="1"/>
      <c r="NC130" s="1"/>
      <c r="ND130" s="1"/>
      <c r="NE130" s="1"/>
      <c r="NF130" s="1"/>
      <c r="NG130" s="1"/>
      <c r="NH130" s="1"/>
      <c r="NI130" s="1"/>
      <c r="NJ130" s="1"/>
      <c r="NK130" s="1"/>
      <c r="NL130" s="1"/>
      <c r="NM130" s="1"/>
      <c r="NN130" s="1"/>
      <c r="NO130" s="1"/>
      <c r="NP130" s="1"/>
      <c r="NQ130" s="1"/>
      <c r="NR130" s="1"/>
      <c r="NS130" s="1"/>
      <c r="NT130" s="1"/>
      <c r="NU130" s="1"/>
      <c r="NV130" s="1"/>
      <c r="NW130" s="1"/>
      <c r="NX130" s="1"/>
      <c r="NY130" s="1"/>
      <c r="NZ130" s="1"/>
      <c r="OA130" s="1"/>
      <c r="OB130" s="1"/>
      <c r="OC130" s="1"/>
      <c r="OD130" s="1"/>
      <c r="OE130" s="1"/>
      <c r="OF130" s="1"/>
      <c r="OG130" s="1"/>
      <c r="OH130" s="1"/>
      <c r="OI130" s="1"/>
      <c r="OJ130" s="1"/>
      <c r="OK130" s="1"/>
      <c r="OL130" s="1"/>
      <c r="OM130" s="1"/>
      <c r="ON130" s="1"/>
      <c r="OO130" s="1"/>
      <c r="OP130" s="1"/>
      <c r="OQ130" s="1"/>
      <c r="OR130" s="1"/>
      <c r="OS130" s="1"/>
      <c r="OT130" s="1"/>
      <c r="OU130" s="1"/>
      <c r="OV130" s="1"/>
      <c r="OW130" s="1"/>
      <c r="OX130" s="1"/>
      <c r="OY130" s="1"/>
      <c r="OZ130" s="1"/>
      <c r="PA130" s="1"/>
      <c r="PB130" s="1"/>
      <c r="PC130" s="1"/>
      <c r="PD130" s="1"/>
      <c r="PE130" s="1"/>
      <c r="PF130" s="1"/>
      <c r="PG130" s="1"/>
      <c r="PH130" s="1"/>
      <c r="PI130" s="1"/>
      <c r="PJ130" s="1"/>
      <c r="PK130" s="1"/>
      <c r="PL130" s="1"/>
      <c r="PM130" s="1"/>
      <c r="PN130" s="1"/>
      <c r="PO130" s="1"/>
      <c r="PP130" s="1"/>
      <c r="PQ130" s="1"/>
      <c r="PR130" s="1"/>
      <c r="PS130" s="1"/>
      <c r="PT130" s="1"/>
      <c r="PU130" s="1"/>
      <c r="PV130" s="1"/>
      <c r="PW130" s="1"/>
    </row>
    <row r="131" spans="1:439" x14ac:dyDescent="0.2">
      <c r="A131" s="1"/>
      <c r="C131" s="37"/>
      <c r="G131" s="61"/>
      <c r="H131" s="61"/>
      <c r="I131" s="61"/>
      <c r="J131" s="1"/>
      <c r="K131" s="71"/>
      <c r="L131" s="2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/>
      <c r="JE131" s="1"/>
      <c r="JF131" s="1"/>
      <c r="JG131" s="1"/>
      <c r="JH131" s="1"/>
      <c r="JI131" s="1"/>
      <c r="JJ131" s="1"/>
      <c r="JK131" s="1"/>
      <c r="JL131" s="1"/>
      <c r="JM131" s="1"/>
      <c r="JN131" s="1"/>
      <c r="JO131" s="1"/>
      <c r="JP131" s="1"/>
      <c r="JQ131" s="1"/>
      <c r="JR131" s="1"/>
      <c r="JS131" s="1"/>
      <c r="JT131" s="1"/>
      <c r="JU131" s="1"/>
      <c r="JV131" s="1"/>
      <c r="JW131" s="1"/>
      <c r="JX131" s="1"/>
      <c r="JY131" s="1"/>
      <c r="JZ131" s="1"/>
      <c r="KA131" s="1"/>
      <c r="KB131" s="1"/>
      <c r="KC131" s="1"/>
      <c r="KD131" s="1"/>
      <c r="KE131" s="1"/>
      <c r="KF131" s="1"/>
      <c r="KG131" s="1"/>
      <c r="KH131" s="1"/>
      <c r="KI131" s="1"/>
      <c r="KJ131" s="1"/>
      <c r="KK131" s="1"/>
      <c r="KL131" s="1"/>
      <c r="KM131" s="1"/>
      <c r="KN131" s="1"/>
      <c r="KO131" s="1"/>
      <c r="KP131" s="1"/>
      <c r="KQ131" s="1"/>
      <c r="KR131" s="1"/>
      <c r="KS131" s="1"/>
      <c r="KT131" s="1"/>
      <c r="KU131" s="1"/>
      <c r="KV131" s="1"/>
      <c r="KW131" s="1"/>
      <c r="KX131" s="1"/>
      <c r="KY131" s="1"/>
      <c r="KZ131" s="1"/>
      <c r="LA131" s="1"/>
      <c r="LB131" s="1"/>
      <c r="LC131" s="1"/>
      <c r="LD131" s="1"/>
      <c r="LE131" s="1"/>
      <c r="LF131" s="1"/>
      <c r="LG131" s="1"/>
      <c r="LH131" s="1"/>
      <c r="LI131" s="1"/>
      <c r="LJ131" s="1"/>
      <c r="LK131" s="1"/>
      <c r="LL131" s="1"/>
      <c r="LM131" s="1"/>
      <c r="LN131" s="1"/>
      <c r="LO131" s="1"/>
      <c r="LP131" s="1"/>
      <c r="LQ131" s="1"/>
      <c r="LR131" s="1"/>
      <c r="LS131" s="1"/>
      <c r="LT131" s="1"/>
      <c r="LU131" s="1"/>
      <c r="LV131" s="1"/>
      <c r="LW131" s="1"/>
      <c r="LX131" s="1"/>
      <c r="LY131" s="1"/>
      <c r="LZ131" s="1"/>
      <c r="MA131" s="1"/>
      <c r="MB131" s="1"/>
      <c r="MC131" s="1"/>
      <c r="MD131" s="1"/>
      <c r="ME131" s="1"/>
      <c r="MF131" s="1"/>
      <c r="MG131" s="1"/>
      <c r="MH131" s="1"/>
      <c r="MI131" s="1"/>
      <c r="MJ131" s="1"/>
      <c r="MK131" s="1"/>
      <c r="ML131" s="1"/>
      <c r="MM131" s="1"/>
      <c r="MN131" s="1"/>
      <c r="MO131" s="1"/>
      <c r="MP131" s="1"/>
      <c r="MQ131" s="1"/>
      <c r="MR131" s="1"/>
      <c r="MS131" s="1"/>
      <c r="MT131" s="1"/>
      <c r="MU131" s="1"/>
      <c r="MV131" s="1"/>
      <c r="MW131" s="1"/>
      <c r="MX131" s="1"/>
      <c r="MY131" s="1"/>
      <c r="MZ131" s="1"/>
      <c r="NA131" s="1"/>
      <c r="NB131" s="1"/>
      <c r="NC131" s="1"/>
      <c r="ND131" s="1"/>
      <c r="NE131" s="1"/>
      <c r="NF131" s="1"/>
      <c r="NG131" s="1"/>
      <c r="NH131" s="1"/>
      <c r="NI131" s="1"/>
      <c r="NJ131" s="1"/>
      <c r="NK131" s="1"/>
      <c r="NL131" s="1"/>
      <c r="NM131" s="1"/>
      <c r="NN131" s="1"/>
      <c r="NO131" s="1"/>
      <c r="NP131" s="1"/>
      <c r="NQ131" s="1"/>
      <c r="NR131" s="1"/>
      <c r="NS131" s="1"/>
      <c r="NT131" s="1"/>
      <c r="NU131" s="1"/>
      <c r="NV131" s="1"/>
      <c r="NW131" s="1"/>
      <c r="NX131" s="1"/>
      <c r="NY131" s="1"/>
      <c r="NZ131" s="1"/>
      <c r="OA131" s="1"/>
      <c r="OB131" s="1"/>
      <c r="OC131" s="1"/>
      <c r="OD131" s="1"/>
      <c r="OE131" s="1"/>
      <c r="OF131" s="1"/>
      <c r="OG131" s="1"/>
      <c r="OH131" s="1"/>
      <c r="OI131" s="1"/>
      <c r="OJ131" s="1"/>
      <c r="OK131" s="1"/>
      <c r="OL131" s="1"/>
      <c r="OM131" s="1"/>
      <c r="ON131" s="1"/>
      <c r="OO131" s="1"/>
      <c r="OP131" s="1"/>
      <c r="OQ131" s="1"/>
      <c r="OR131" s="1"/>
      <c r="OS131" s="1"/>
      <c r="OT131" s="1"/>
      <c r="OU131" s="1"/>
      <c r="OV131" s="1"/>
      <c r="OW131" s="1"/>
      <c r="OX131" s="1"/>
      <c r="OY131" s="1"/>
      <c r="OZ131" s="1"/>
      <c r="PA131" s="1"/>
      <c r="PB131" s="1"/>
      <c r="PC131" s="1"/>
      <c r="PD131" s="1"/>
      <c r="PE131" s="1"/>
      <c r="PF131" s="1"/>
      <c r="PG131" s="1"/>
      <c r="PH131" s="1"/>
      <c r="PI131" s="1"/>
      <c r="PJ131" s="1"/>
      <c r="PK131" s="1"/>
      <c r="PL131" s="1"/>
      <c r="PM131" s="1"/>
      <c r="PN131" s="1"/>
      <c r="PO131" s="1"/>
      <c r="PP131" s="1"/>
      <c r="PQ131" s="1"/>
      <c r="PR131" s="1"/>
      <c r="PS131" s="1"/>
      <c r="PT131" s="1"/>
      <c r="PU131" s="1"/>
      <c r="PV131" s="1"/>
      <c r="PW131" s="1"/>
    </row>
    <row r="132" spans="1:439" x14ac:dyDescent="0.2">
      <c r="A132" s="1"/>
      <c r="C132" s="37"/>
      <c r="G132" s="61"/>
      <c r="H132" s="61"/>
      <c r="I132" s="61"/>
      <c r="J132" s="1"/>
      <c r="K132" s="71"/>
      <c r="L132" s="2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  <c r="IX132" s="1"/>
      <c r="IY132" s="1"/>
      <c r="IZ132" s="1"/>
      <c r="JA132" s="1"/>
      <c r="JB132" s="1"/>
      <c r="JC132" s="1"/>
      <c r="JD132" s="1"/>
      <c r="JE132" s="1"/>
      <c r="JF132" s="1"/>
      <c r="JG132" s="1"/>
      <c r="JH132" s="1"/>
      <c r="JI132" s="1"/>
      <c r="JJ132" s="1"/>
      <c r="JK132" s="1"/>
      <c r="JL132" s="1"/>
      <c r="JM132" s="1"/>
      <c r="JN132" s="1"/>
      <c r="JO132" s="1"/>
      <c r="JP132" s="1"/>
      <c r="JQ132" s="1"/>
      <c r="JR132" s="1"/>
      <c r="JS132" s="1"/>
      <c r="JT132" s="1"/>
      <c r="JU132" s="1"/>
      <c r="JV132" s="1"/>
      <c r="JW132" s="1"/>
      <c r="JX132" s="1"/>
      <c r="JY132" s="1"/>
      <c r="JZ132" s="1"/>
      <c r="KA132" s="1"/>
      <c r="KB132" s="1"/>
      <c r="KC132" s="1"/>
      <c r="KD132" s="1"/>
      <c r="KE132" s="1"/>
      <c r="KF132" s="1"/>
      <c r="KG132" s="1"/>
      <c r="KH132" s="1"/>
      <c r="KI132" s="1"/>
      <c r="KJ132" s="1"/>
      <c r="KK132" s="1"/>
      <c r="KL132" s="1"/>
      <c r="KM132" s="1"/>
      <c r="KN132" s="1"/>
      <c r="KO132" s="1"/>
      <c r="KP132" s="1"/>
      <c r="KQ132" s="1"/>
      <c r="KR132" s="1"/>
      <c r="KS132" s="1"/>
      <c r="KT132" s="1"/>
      <c r="KU132" s="1"/>
      <c r="KV132" s="1"/>
      <c r="KW132" s="1"/>
      <c r="KX132" s="1"/>
      <c r="KY132" s="1"/>
      <c r="KZ132" s="1"/>
      <c r="LA132" s="1"/>
      <c r="LB132" s="1"/>
      <c r="LC132" s="1"/>
      <c r="LD132" s="1"/>
      <c r="LE132" s="1"/>
      <c r="LF132" s="1"/>
      <c r="LG132" s="1"/>
      <c r="LH132" s="1"/>
      <c r="LI132" s="1"/>
      <c r="LJ132" s="1"/>
      <c r="LK132" s="1"/>
      <c r="LL132" s="1"/>
      <c r="LM132" s="1"/>
      <c r="LN132" s="1"/>
      <c r="LO132" s="1"/>
      <c r="LP132" s="1"/>
      <c r="LQ132" s="1"/>
      <c r="LR132" s="1"/>
      <c r="LS132" s="1"/>
      <c r="LT132" s="1"/>
      <c r="LU132" s="1"/>
      <c r="LV132" s="1"/>
      <c r="LW132" s="1"/>
      <c r="LX132" s="1"/>
      <c r="LY132" s="1"/>
      <c r="LZ132" s="1"/>
      <c r="MA132" s="1"/>
      <c r="MB132" s="1"/>
      <c r="MC132" s="1"/>
      <c r="MD132" s="1"/>
      <c r="ME132" s="1"/>
      <c r="MF132" s="1"/>
      <c r="MG132" s="1"/>
      <c r="MH132" s="1"/>
      <c r="MI132" s="1"/>
      <c r="MJ132" s="1"/>
      <c r="MK132" s="1"/>
      <c r="ML132" s="1"/>
      <c r="MM132" s="1"/>
      <c r="MN132" s="1"/>
      <c r="MO132" s="1"/>
      <c r="MP132" s="1"/>
      <c r="MQ132" s="1"/>
      <c r="MR132" s="1"/>
      <c r="MS132" s="1"/>
      <c r="MT132" s="1"/>
      <c r="MU132" s="1"/>
      <c r="MV132" s="1"/>
      <c r="MW132" s="1"/>
      <c r="MX132" s="1"/>
      <c r="MY132" s="1"/>
      <c r="MZ132" s="1"/>
      <c r="NA132" s="1"/>
      <c r="NB132" s="1"/>
      <c r="NC132" s="1"/>
      <c r="ND132" s="1"/>
      <c r="NE132" s="1"/>
      <c r="NF132" s="1"/>
      <c r="NG132" s="1"/>
      <c r="NH132" s="1"/>
      <c r="NI132" s="1"/>
      <c r="NJ132" s="1"/>
      <c r="NK132" s="1"/>
      <c r="NL132" s="1"/>
      <c r="NM132" s="1"/>
      <c r="NN132" s="1"/>
      <c r="NO132" s="1"/>
      <c r="NP132" s="1"/>
      <c r="NQ132" s="1"/>
      <c r="NR132" s="1"/>
      <c r="NS132" s="1"/>
      <c r="NT132" s="1"/>
      <c r="NU132" s="1"/>
      <c r="NV132" s="1"/>
      <c r="NW132" s="1"/>
      <c r="NX132" s="1"/>
      <c r="NY132" s="1"/>
      <c r="NZ132" s="1"/>
      <c r="OA132" s="1"/>
      <c r="OB132" s="1"/>
      <c r="OC132" s="1"/>
      <c r="OD132" s="1"/>
      <c r="OE132" s="1"/>
      <c r="OF132" s="1"/>
      <c r="OG132" s="1"/>
      <c r="OH132" s="1"/>
      <c r="OI132" s="1"/>
      <c r="OJ132" s="1"/>
      <c r="OK132" s="1"/>
      <c r="OL132" s="1"/>
      <c r="OM132" s="1"/>
      <c r="ON132" s="1"/>
      <c r="OO132" s="1"/>
      <c r="OP132" s="1"/>
      <c r="OQ132" s="1"/>
      <c r="OR132" s="1"/>
      <c r="OS132" s="1"/>
      <c r="OT132" s="1"/>
      <c r="OU132" s="1"/>
      <c r="OV132" s="1"/>
      <c r="OW132" s="1"/>
      <c r="OX132" s="1"/>
      <c r="OY132" s="1"/>
      <c r="OZ132" s="1"/>
      <c r="PA132" s="1"/>
      <c r="PB132" s="1"/>
      <c r="PC132" s="1"/>
      <c r="PD132" s="1"/>
      <c r="PE132" s="1"/>
      <c r="PF132" s="1"/>
      <c r="PG132" s="1"/>
      <c r="PH132" s="1"/>
      <c r="PI132" s="1"/>
      <c r="PJ132" s="1"/>
      <c r="PK132" s="1"/>
      <c r="PL132" s="1"/>
      <c r="PM132" s="1"/>
      <c r="PN132" s="1"/>
      <c r="PO132" s="1"/>
      <c r="PP132" s="1"/>
      <c r="PQ132" s="1"/>
      <c r="PR132" s="1"/>
      <c r="PS132" s="1"/>
      <c r="PT132" s="1"/>
      <c r="PU132" s="1"/>
      <c r="PV132" s="1"/>
      <c r="PW132" s="1"/>
    </row>
    <row r="133" spans="1:439" x14ac:dyDescent="0.2">
      <c r="A133" s="1"/>
      <c r="C133" s="37"/>
      <c r="G133" s="61"/>
      <c r="H133" s="61"/>
      <c r="I133" s="61"/>
      <c r="J133" s="1"/>
      <c r="K133" s="71"/>
      <c r="L133" s="2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  <c r="IX133" s="1"/>
      <c r="IY133" s="1"/>
      <c r="IZ133" s="1"/>
      <c r="JA133" s="1"/>
      <c r="JB133" s="1"/>
      <c r="JC133" s="1"/>
      <c r="JD133" s="1"/>
      <c r="JE133" s="1"/>
      <c r="JF133" s="1"/>
      <c r="JG133" s="1"/>
      <c r="JH133" s="1"/>
      <c r="JI133" s="1"/>
      <c r="JJ133" s="1"/>
      <c r="JK133" s="1"/>
      <c r="JL133" s="1"/>
      <c r="JM133" s="1"/>
      <c r="JN133" s="1"/>
      <c r="JO133" s="1"/>
      <c r="JP133" s="1"/>
      <c r="JQ133" s="1"/>
      <c r="JR133" s="1"/>
      <c r="JS133" s="1"/>
      <c r="JT133" s="1"/>
      <c r="JU133" s="1"/>
      <c r="JV133" s="1"/>
      <c r="JW133" s="1"/>
      <c r="JX133" s="1"/>
      <c r="JY133" s="1"/>
      <c r="JZ133" s="1"/>
      <c r="KA133" s="1"/>
      <c r="KB133" s="1"/>
      <c r="KC133" s="1"/>
      <c r="KD133" s="1"/>
      <c r="KE133" s="1"/>
      <c r="KF133" s="1"/>
      <c r="KG133" s="1"/>
      <c r="KH133" s="1"/>
      <c r="KI133" s="1"/>
      <c r="KJ133" s="1"/>
      <c r="KK133" s="1"/>
      <c r="KL133" s="1"/>
      <c r="KM133" s="1"/>
      <c r="KN133" s="1"/>
      <c r="KO133" s="1"/>
      <c r="KP133" s="1"/>
      <c r="KQ133" s="1"/>
      <c r="KR133" s="1"/>
      <c r="KS133" s="1"/>
      <c r="KT133" s="1"/>
      <c r="KU133" s="1"/>
      <c r="KV133" s="1"/>
      <c r="KW133" s="1"/>
      <c r="KX133" s="1"/>
      <c r="KY133" s="1"/>
      <c r="KZ133" s="1"/>
      <c r="LA133" s="1"/>
      <c r="LB133" s="1"/>
      <c r="LC133" s="1"/>
      <c r="LD133" s="1"/>
      <c r="LE133" s="1"/>
      <c r="LF133" s="1"/>
      <c r="LG133" s="1"/>
      <c r="LH133" s="1"/>
      <c r="LI133" s="1"/>
      <c r="LJ133" s="1"/>
      <c r="LK133" s="1"/>
      <c r="LL133" s="1"/>
      <c r="LM133" s="1"/>
      <c r="LN133" s="1"/>
      <c r="LO133" s="1"/>
      <c r="LP133" s="1"/>
      <c r="LQ133" s="1"/>
      <c r="LR133" s="1"/>
      <c r="LS133" s="1"/>
      <c r="LT133" s="1"/>
      <c r="LU133" s="1"/>
      <c r="LV133" s="1"/>
      <c r="LW133" s="1"/>
      <c r="LX133" s="1"/>
      <c r="LY133" s="1"/>
      <c r="LZ133" s="1"/>
      <c r="MA133" s="1"/>
      <c r="MB133" s="1"/>
      <c r="MC133" s="1"/>
      <c r="MD133" s="1"/>
      <c r="ME133" s="1"/>
      <c r="MF133" s="1"/>
      <c r="MG133" s="1"/>
      <c r="MH133" s="1"/>
      <c r="MI133" s="1"/>
      <c r="MJ133" s="1"/>
      <c r="MK133" s="1"/>
      <c r="ML133" s="1"/>
      <c r="MM133" s="1"/>
      <c r="MN133" s="1"/>
      <c r="MO133" s="1"/>
      <c r="MP133" s="1"/>
      <c r="MQ133" s="1"/>
      <c r="MR133" s="1"/>
      <c r="MS133" s="1"/>
      <c r="MT133" s="1"/>
      <c r="MU133" s="1"/>
      <c r="MV133" s="1"/>
      <c r="MW133" s="1"/>
      <c r="MX133" s="1"/>
      <c r="MY133" s="1"/>
      <c r="MZ133" s="1"/>
      <c r="NA133" s="1"/>
      <c r="NB133" s="1"/>
      <c r="NC133" s="1"/>
      <c r="ND133" s="1"/>
      <c r="NE133" s="1"/>
      <c r="NF133" s="1"/>
      <c r="NG133" s="1"/>
      <c r="NH133" s="1"/>
      <c r="NI133" s="1"/>
      <c r="NJ133" s="1"/>
      <c r="NK133" s="1"/>
      <c r="NL133" s="1"/>
      <c r="NM133" s="1"/>
      <c r="NN133" s="1"/>
      <c r="NO133" s="1"/>
      <c r="NP133" s="1"/>
      <c r="NQ133" s="1"/>
      <c r="NR133" s="1"/>
      <c r="NS133" s="1"/>
      <c r="NT133" s="1"/>
      <c r="NU133" s="1"/>
      <c r="NV133" s="1"/>
      <c r="NW133" s="1"/>
      <c r="NX133" s="1"/>
      <c r="NY133" s="1"/>
      <c r="NZ133" s="1"/>
      <c r="OA133" s="1"/>
      <c r="OB133" s="1"/>
      <c r="OC133" s="1"/>
      <c r="OD133" s="1"/>
      <c r="OE133" s="1"/>
      <c r="OF133" s="1"/>
      <c r="OG133" s="1"/>
      <c r="OH133" s="1"/>
      <c r="OI133" s="1"/>
      <c r="OJ133" s="1"/>
      <c r="OK133" s="1"/>
      <c r="OL133" s="1"/>
      <c r="OM133" s="1"/>
      <c r="ON133" s="1"/>
      <c r="OO133" s="1"/>
      <c r="OP133" s="1"/>
      <c r="OQ133" s="1"/>
      <c r="OR133" s="1"/>
      <c r="OS133" s="1"/>
      <c r="OT133" s="1"/>
      <c r="OU133" s="1"/>
      <c r="OV133" s="1"/>
      <c r="OW133" s="1"/>
      <c r="OX133" s="1"/>
      <c r="OY133" s="1"/>
      <c r="OZ133" s="1"/>
      <c r="PA133" s="1"/>
      <c r="PB133" s="1"/>
      <c r="PC133" s="1"/>
      <c r="PD133" s="1"/>
      <c r="PE133" s="1"/>
      <c r="PF133" s="1"/>
      <c r="PG133" s="1"/>
      <c r="PH133" s="1"/>
      <c r="PI133" s="1"/>
      <c r="PJ133" s="1"/>
      <c r="PK133" s="1"/>
      <c r="PL133" s="1"/>
      <c r="PM133" s="1"/>
      <c r="PN133" s="1"/>
      <c r="PO133" s="1"/>
      <c r="PP133" s="1"/>
      <c r="PQ133" s="1"/>
      <c r="PR133" s="1"/>
      <c r="PS133" s="1"/>
      <c r="PT133" s="1"/>
      <c r="PU133" s="1"/>
      <c r="PV133" s="1"/>
      <c r="PW133" s="1"/>
    </row>
    <row r="134" spans="1:439" x14ac:dyDescent="0.2">
      <c r="A134" s="1"/>
      <c r="C134" s="37"/>
      <c r="G134" s="61"/>
      <c r="H134" s="61"/>
      <c r="I134" s="61"/>
      <c r="J134" s="1"/>
      <c r="K134" s="71"/>
      <c r="L134" s="2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  <c r="IX134" s="1"/>
      <c r="IY134" s="1"/>
      <c r="IZ134" s="1"/>
      <c r="JA134" s="1"/>
      <c r="JB134" s="1"/>
      <c r="JC134" s="1"/>
      <c r="JD134" s="1"/>
      <c r="JE134" s="1"/>
      <c r="JF134" s="1"/>
      <c r="JG134" s="1"/>
      <c r="JH134" s="1"/>
      <c r="JI134" s="1"/>
      <c r="JJ134" s="1"/>
      <c r="JK134" s="1"/>
      <c r="JL134" s="1"/>
      <c r="JM134" s="1"/>
      <c r="JN134" s="1"/>
      <c r="JO134" s="1"/>
      <c r="JP134" s="1"/>
      <c r="JQ134" s="1"/>
      <c r="JR134" s="1"/>
      <c r="JS134" s="1"/>
      <c r="JT134" s="1"/>
      <c r="JU134" s="1"/>
      <c r="JV134" s="1"/>
      <c r="JW134" s="1"/>
      <c r="JX134" s="1"/>
      <c r="JY134" s="1"/>
      <c r="JZ134" s="1"/>
      <c r="KA134" s="1"/>
      <c r="KB134" s="1"/>
      <c r="KC134" s="1"/>
      <c r="KD134" s="1"/>
      <c r="KE134" s="1"/>
      <c r="KF134" s="1"/>
      <c r="KG134" s="1"/>
      <c r="KH134" s="1"/>
      <c r="KI134" s="1"/>
      <c r="KJ134" s="1"/>
      <c r="KK134" s="1"/>
      <c r="KL134" s="1"/>
      <c r="KM134" s="1"/>
      <c r="KN134" s="1"/>
      <c r="KO134" s="1"/>
      <c r="KP134" s="1"/>
      <c r="KQ134" s="1"/>
      <c r="KR134" s="1"/>
      <c r="KS134" s="1"/>
      <c r="KT134" s="1"/>
      <c r="KU134" s="1"/>
      <c r="KV134" s="1"/>
      <c r="KW134" s="1"/>
      <c r="KX134" s="1"/>
      <c r="KY134" s="1"/>
      <c r="KZ134" s="1"/>
      <c r="LA134" s="1"/>
      <c r="LB134" s="1"/>
      <c r="LC134" s="1"/>
      <c r="LD134" s="1"/>
      <c r="LE134" s="1"/>
      <c r="LF134" s="1"/>
      <c r="LG134" s="1"/>
      <c r="LH134" s="1"/>
      <c r="LI134" s="1"/>
      <c r="LJ134" s="1"/>
      <c r="LK134" s="1"/>
      <c r="LL134" s="1"/>
      <c r="LM134" s="1"/>
      <c r="LN134" s="1"/>
      <c r="LO134" s="1"/>
      <c r="LP134" s="1"/>
      <c r="LQ134" s="1"/>
      <c r="LR134" s="1"/>
      <c r="LS134" s="1"/>
      <c r="LT134" s="1"/>
      <c r="LU134" s="1"/>
      <c r="LV134" s="1"/>
      <c r="LW134" s="1"/>
      <c r="LX134" s="1"/>
      <c r="LY134" s="1"/>
      <c r="LZ134" s="1"/>
      <c r="MA134" s="1"/>
      <c r="MB134" s="1"/>
      <c r="MC134" s="1"/>
      <c r="MD134" s="1"/>
      <c r="ME134" s="1"/>
      <c r="MF134" s="1"/>
      <c r="MG134" s="1"/>
      <c r="MH134" s="1"/>
      <c r="MI134" s="1"/>
      <c r="MJ134" s="1"/>
      <c r="MK134" s="1"/>
      <c r="ML134" s="1"/>
      <c r="MM134" s="1"/>
      <c r="MN134" s="1"/>
      <c r="MO134" s="1"/>
      <c r="MP134" s="1"/>
      <c r="MQ134" s="1"/>
      <c r="MR134" s="1"/>
      <c r="MS134" s="1"/>
      <c r="MT134" s="1"/>
      <c r="MU134" s="1"/>
      <c r="MV134" s="1"/>
      <c r="MW134" s="1"/>
      <c r="MX134" s="1"/>
      <c r="MY134" s="1"/>
      <c r="MZ134" s="1"/>
      <c r="NA134" s="1"/>
      <c r="NB134" s="1"/>
      <c r="NC134" s="1"/>
      <c r="ND134" s="1"/>
      <c r="NE134" s="1"/>
      <c r="NF134" s="1"/>
      <c r="NG134" s="1"/>
      <c r="NH134" s="1"/>
      <c r="NI134" s="1"/>
      <c r="NJ134" s="1"/>
      <c r="NK134" s="1"/>
      <c r="NL134" s="1"/>
      <c r="NM134" s="1"/>
      <c r="NN134" s="1"/>
      <c r="NO134" s="1"/>
      <c r="NP134" s="1"/>
      <c r="NQ134" s="1"/>
      <c r="NR134" s="1"/>
      <c r="NS134" s="1"/>
      <c r="NT134" s="1"/>
      <c r="NU134" s="1"/>
      <c r="NV134" s="1"/>
      <c r="NW134" s="1"/>
      <c r="NX134" s="1"/>
      <c r="NY134" s="1"/>
      <c r="NZ134" s="1"/>
      <c r="OA134" s="1"/>
      <c r="OB134" s="1"/>
      <c r="OC134" s="1"/>
      <c r="OD134" s="1"/>
      <c r="OE134" s="1"/>
      <c r="OF134" s="1"/>
      <c r="OG134" s="1"/>
      <c r="OH134" s="1"/>
      <c r="OI134" s="1"/>
      <c r="OJ134" s="1"/>
      <c r="OK134" s="1"/>
      <c r="OL134" s="1"/>
      <c r="OM134" s="1"/>
      <c r="ON134" s="1"/>
      <c r="OO134" s="1"/>
      <c r="OP134" s="1"/>
      <c r="OQ134" s="1"/>
      <c r="OR134" s="1"/>
      <c r="OS134" s="1"/>
      <c r="OT134" s="1"/>
      <c r="OU134" s="1"/>
      <c r="OV134" s="1"/>
      <c r="OW134" s="1"/>
      <c r="OX134" s="1"/>
      <c r="OY134" s="1"/>
      <c r="OZ134" s="1"/>
      <c r="PA134" s="1"/>
      <c r="PB134" s="1"/>
      <c r="PC134" s="1"/>
      <c r="PD134" s="1"/>
      <c r="PE134" s="1"/>
      <c r="PF134" s="1"/>
      <c r="PG134" s="1"/>
      <c r="PH134" s="1"/>
      <c r="PI134" s="1"/>
      <c r="PJ134" s="1"/>
      <c r="PK134" s="1"/>
      <c r="PL134" s="1"/>
      <c r="PM134" s="1"/>
      <c r="PN134" s="1"/>
      <c r="PO134" s="1"/>
      <c r="PP134" s="1"/>
      <c r="PQ134" s="1"/>
      <c r="PR134" s="1"/>
      <c r="PS134" s="1"/>
      <c r="PT134" s="1"/>
      <c r="PU134" s="1"/>
      <c r="PV134" s="1"/>
      <c r="PW134" s="1"/>
    </row>
    <row r="135" spans="1:439" x14ac:dyDescent="0.2">
      <c r="A135" s="1"/>
      <c r="C135" s="37"/>
      <c r="G135" s="61"/>
      <c r="H135" s="61"/>
      <c r="I135" s="61"/>
      <c r="J135" s="1"/>
      <c r="K135" s="71"/>
      <c r="L135" s="2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  <c r="IX135" s="1"/>
      <c r="IY135" s="1"/>
      <c r="IZ135" s="1"/>
      <c r="JA135" s="1"/>
      <c r="JB135" s="1"/>
      <c r="JC135" s="1"/>
      <c r="JD135" s="1"/>
      <c r="JE135" s="1"/>
      <c r="JF135" s="1"/>
      <c r="JG135" s="1"/>
      <c r="JH135" s="1"/>
      <c r="JI135" s="1"/>
      <c r="JJ135" s="1"/>
      <c r="JK135" s="1"/>
      <c r="JL135" s="1"/>
      <c r="JM135" s="1"/>
      <c r="JN135" s="1"/>
      <c r="JO135" s="1"/>
      <c r="JP135" s="1"/>
      <c r="JQ135" s="1"/>
      <c r="JR135" s="1"/>
      <c r="JS135" s="1"/>
      <c r="JT135" s="1"/>
      <c r="JU135" s="1"/>
      <c r="JV135" s="1"/>
      <c r="JW135" s="1"/>
      <c r="JX135" s="1"/>
      <c r="JY135" s="1"/>
      <c r="JZ135" s="1"/>
      <c r="KA135" s="1"/>
      <c r="KB135" s="1"/>
      <c r="KC135" s="1"/>
      <c r="KD135" s="1"/>
      <c r="KE135" s="1"/>
      <c r="KF135" s="1"/>
      <c r="KG135" s="1"/>
      <c r="KH135" s="1"/>
      <c r="KI135" s="1"/>
      <c r="KJ135" s="1"/>
      <c r="KK135" s="1"/>
      <c r="KL135" s="1"/>
      <c r="KM135" s="1"/>
      <c r="KN135" s="1"/>
      <c r="KO135" s="1"/>
      <c r="KP135" s="1"/>
      <c r="KQ135" s="1"/>
      <c r="KR135" s="1"/>
      <c r="KS135" s="1"/>
      <c r="KT135" s="1"/>
      <c r="KU135" s="1"/>
      <c r="KV135" s="1"/>
      <c r="KW135" s="1"/>
      <c r="KX135" s="1"/>
      <c r="KY135" s="1"/>
      <c r="KZ135" s="1"/>
      <c r="LA135" s="1"/>
      <c r="LB135" s="1"/>
      <c r="LC135" s="1"/>
      <c r="LD135" s="1"/>
      <c r="LE135" s="1"/>
      <c r="LF135" s="1"/>
      <c r="LG135" s="1"/>
      <c r="LH135" s="1"/>
      <c r="LI135" s="1"/>
      <c r="LJ135" s="1"/>
      <c r="LK135" s="1"/>
      <c r="LL135" s="1"/>
      <c r="LM135" s="1"/>
      <c r="LN135" s="1"/>
      <c r="LO135" s="1"/>
      <c r="LP135" s="1"/>
      <c r="LQ135" s="1"/>
      <c r="LR135" s="1"/>
      <c r="LS135" s="1"/>
      <c r="LT135" s="1"/>
      <c r="LU135" s="1"/>
      <c r="LV135" s="1"/>
      <c r="LW135" s="1"/>
      <c r="LX135" s="1"/>
      <c r="LY135" s="1"/>
      <c r="LZ135" s="1"/>
      <c r="MA135" s="1"/>
      <c r="MB135" s="1"/>
      <c r="MC135" s="1"/>
      <c r="MD135" s="1"/>
      <c r="ME135" s="1"/>
      <c r="MF135" s="1"/>
      <c r="MG135" s="1"/>
      <c r="MH135" s="1"/>
      <c r="MI135" s="1"/>
      <c r="MJ135" s="1"/>
      <c r="MK135" s="1"/>
      <c r="ML135" s="1"/>
      <c r="MM135" s="1"/>
      <c r="MN135" s="1"/>
      <c r="MO135" s="1"/>
      <c r="MP135" s="1"/>
      <c r="MQ135" s="1"/>
      <c r="MR135" s="1"/>
      <c r="MS135" s="1"/>
      <c r="MT135" s="1"/>
      <c r="MU135" s="1"/>
      <c r="MV135" s="1"/>
      <c r="MW135" s="1"/>
      <c r="MX135" s="1"/>
      <c r="MY135" s="1"/>
      <c r="MZ135" s="1"/>
      <c r="NA135" s="1"/>
      <c r="NB135" s="1"/>
      <c r="NC135" s="1"/>
      <c r="ND135" s="1"/>
      <c r="NE135" s="1"/>
      <c r="NF135" s="1"/>
      <c r="NG135" s="1"/>
      <c r="NH135" s="1"/>
      <c r="NI135" s="1"/>
      <c r="NJ135" s="1"/>
      <c r="NK135" s="1"/>
      <c r="NL135" s="1"/>
      <c r="NM135" s="1"/>
      <c r="NN135" s="1"/>
      <c r="NO135" s="1"/>
      <c r="NP135" s="1"/>
      <c r="NQ135" s="1"/>
      <c r="NR135" s="1"/>
      <c r="NS135" s="1"/>
      <c r="NT135" s="1"/>
      <c r="NU135" s="1"/>
      <c r="NV135" s="1"/>
      <c r="NW135" s="1"/>
      <c r="NX135" s="1"/>
      <c r="NY135" s="1"/>
      <c r="NZ135" s="1"/>
      <c r="OA135" s="1"/>
      <c r="OB135" s="1"/>
      <c r="OC135" s="1"/>
      <c r="OD135" s="1"/>
      <c r="OE135" s="1"/>
      <c r="OF135" s="1"/>
      <c r="OG135" s="1"/>
      <c r="OH135" s="1"/>
      <c r="OI135" s="1"/>
      <c r="OJ135" s="1"/>
      <c r="OK135" s="1"/>
      <c r="OL135" s="1"/>
      <c r="OM135" s="1"/>
      <c r="ON135" s="1"/>
      <c r="OO135" s="1"/>
      <c r="OP135" s="1"/>
      <c r="OQ135" s="1"/>
      <c r="OR135" s="1"/>
      <c r="OS135" s="1"/>
      <c r="OT135" s="1"/>
      <c r="OU135" s="1"/>
      <c r="OV135" s="1"/>
      <c r="OW135" s="1"/>
      <c r="OX135" s="1"/>
      <c r="OY135" s="1"/>
      <c r="OZ135" s="1"/>
      <c r="PA135" s="1"/>
      <c r="PB135" s="1"/>
      <c r="PC135" s="1"/>
      <c r="PD135" s="1"/>
      <c r="PE135" s="1"/>
      <c r="PF135" s="1"/>
      <c r="PG135" s="1"/>
      <c r="PH135" s="1"/>
      <c r="PI135" s="1"/>
      <c r="PJ135" s="1"/>
      <c r="PK135" s="1"/>
      <c r="PL135" s="1"/>
      <c r="PM135" s="1"/>
      <c r="PN135" s="1"/>
      <c r="PO135" s="1"/>
      <c r="PP135" s="1"/>
      <c r="PQ135" s="1"/>
      <c r="PR135" s="1"/>
      <c r="PS135" s="1"/>
      <c r="PT135" s="1"/>
      <c r="PU135" s="1"/>
      <c r="PV135" s="1"/>
      <c r="PW135" s="1"/>
    </row>
    <row r="136" spans="1:439" x14ac:dyDescent="0.2">
      <c r="A136" s="1"/>
      <c r="C136" s="37"/>
      <c r="G136" s="61"/>
      <c r="H136" s="61"/>
      <c r="I136" s="61"/>
      <c r="J136" s="1"/>
      <c r="K136" s="71"/>
      <c r="L136" s="2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  <c r="IX136" s="1"/>
      <c r="IY136" s="1"/>
      <c r="IZ136" s="1"/>
      <c r="JA136" s="1"/>
      <c r="JB136" s="1"/>
      <c r="JC136" s="1"/>
      <c r="JD136" s="1"/>
      <c r="JE136" s="1"/>
      <c r="JF136" s="1"/>
      <c r="JG136" s="1"/>
      <c r="JH136" s="1"/>
      <c r="JI136" s="1"/>
      <c r="JJ136" s="1"/>
      <c r="JK136" s="1"/>
      <c r="JL136" s="1"/>
      <c r="JM136" s="1"/>
      <c r="JN136" s="1"/>
      <c r="JO136" s="1"/>
      <c r="JP136" s="1"/>
      <c r="JQ136" s="1"/>
      <c r="JR136" s="1"/>
      <c r="JS136" s="1"/>
      <c r="JT136" s="1"/>
      <c r="JU136" s="1"/>
      <c r="JV136" s="1"/>
      <c r="JW136" s="1"/>
      <c r="JX136" s="1"/>
      <c r="JY136" s="1"/>
      <c r="JZ136" s="1"/>
      <c r="KA136" s="1"/>
      <c r="KB136" s="1"/>
      <c r="KC136" s="1"/>
      <c r="KD136" s="1"/>
      <c r="KE136" s="1"/>
      <c r="KF136" s="1"/>
      <c r="KG136" s="1"/>
      <c r="KH136" s="1"/>
      <c r="KI136" s="1"/>
      <c r="KJ136" s="1"/>
      <c r="KK136" s="1"/>
      <c r="KL136" s="1"/>
      <c r="KM136" s="1"/>
      <c r="KN136" s="1"/>
      <c r="KO136" s="1"/>
      <c r="KP136" s="1"/>
      <c r="KQ136" s="1"/>
      <c r="KR136" s="1"/>
      <c r="KS136" s="1"/>
      <c r="KT136" s="1"/>
      <c r="KU136" s="1"/>
      <c r="KV136" s="1"/>
      <c r="KW136" s="1"/>
      <c r="KX136" s="1"/>
      <c r="KY136" s="1"/>
      <c r="KZ136" s="1"/>
      <c r="LA136" s="1"/>
      <c r="LB136" s="1"/>
      <c r="LC136" s="1"/>
      <c r="LD136" s="1"/>
      <c r="LE136" s="1"/>
      <c r="LF136" s="1"/>
      <c r="LG136" s="1"/>
      <c r="LH136" s="1"/>
      <c r="LI136" s="1"/>
      <c r="LJ136" s="1"/>
      <c r="LK136" s="1"/>
      <c r="LL136" s="1"/>
      <c r="LM136" s="1"/>
      <c r="LN136" s="1"/>
      <c r="LO136" s="1"/>
      <c r="LP136" s="1"/>
      <c r="LQ136" s="1"/>
      <c r="LR136" s="1"/>
      <c r="LS136" s="1"/>
      <c r="LT136" s="1"/>
      <c r="LU136" s="1"/>
      <c r="LV136" s="1"/>
      <c r="LW136" s="1"/>
      <c r="LX136" s="1"/>
      <c r="LY136" s="1"/>
      <c r="LZ136" s="1"/>
      <c r="MA136" s="1"/>
      <c r="MB136" s="1"/>
      <c r="MC136" s="1"/>
      <c r="MD136" s="1"/>
      <c r="ME136" s="1"/>
      <c r="MF136" s="1"/>
      <c r="MG136" s="1"/>
      <c r="MH136" s="1"/>
      <c r="MI136" s="1"/>
      <c r="MJ136" s="1"/>
      <c r="MK136" s="1"/>
      <c r="ML136" s="1"/>
      <c r="MM136" s="1"/>
      <c r="MN136" s="1"/>
      <c r="MO136" s="1"/>
      <c r="MP136" s="1"/>
      <c r="MQ136" s="1"/>
      <c r="MR136" s="1"/>
      <c r="MS136" s="1"/>
      <c r="MT136" s="1"/>
      <c r="MU136" s="1"/>
      <c r="MV136" s="1"/>
      <c r="MW136" s="1"/>
      <c r="MX136" s="1"/>
      <c r="MY136" s="1"/>
      <c r="MZ136" s="1"/>
      <c r="NA136" s="1"/>
      <c r="NB136" s="1"/>
      <c r="NC136" s="1"/>
      <c r="ND136" s="1"/>
      <c r="NE136" s="1"/>
      <c r="NF136" s="1"/>
      <c r="NG136" s="1"/>
      <c r="NH136" s="1"/>
      <c r="NI136" s="1"/>
      <c r="NJ136" s="1"/>
      <c r="NK136" s="1"/>
      <c r="NL136" s="1"/>
      <c r="NM136" s="1"/>
      <c r="NN136" s="1"/>
      <c r="NO136" s="1"/>
      <c r="NP136" s="1"/>
      <c r="NQ136" s="1"/>
      <c r="NR136" s="1"/>
      <c r="NS136" s="1"/>
      <c r="NT136" s="1"/>
      <c r="NU136" s="1"/>
      <c r="NV136" s="1"/>
      <c r="NW136" s="1"/>
      <c r="NX136" s="1"/>
      <c r="NY136" s="1"/>
      <c r="NZ136" s="1"/>
      <c r="OA136" s="1"/>
      <c r="OB136" s="1"/>
      <c r="OC136" s="1"/>
      <c r="OD136" s="1"/>
      <c r="OE136" s="1"/>
      <c r="OF136" s="1"/>
      <c r="OG136" s="1"/>
      <c r="OH136" s="1"/>
      <c r="OI136" s="1"/>
      <c r="OJ136" s="1"/>
      <c r="OK136" s="1"/>
      <c r="OL136" s="1"/>
      <c r="OM136" s="1"/>
      <c r="ON136" s="1"/>
      <c r="OO136" s="1"/>
      <c r="OP136" s="1"/>
      <c r="OQ136" s="1"/>
      <c r="OR136" s="1"/>
      <c r="OS136" s="1"/>
      <c r="OT136" s="1"/>
      <c r="OU136" s="1"/>
      <c r="OV136" s="1"/>
      <c r="OW136" s="1"/>
      <c r="OX136" s="1"/>
      <c r="OY136" s="1"/>
      <c r="OZ136" s="1"/>
      <c r="PA136" s="1"/>
      <c r="PB136" s="1"/>
      <c r="PC136" s="1"/>
      <c r="PD136" s="1"/>
      <c r="PE136" s="1"/>
      <c r="PF136" s="1"/>
      <c r="PG136" s="1"/>
      <c r="PH136" s="1"/>
      <c r="PI136" s="1"/>
      <c r="PJ136" s="1"/>
      <c r="PK136" s="1"/>
      <c r="PL136" s="1"/>
      <c r="PM136" s="1"/>
      <c r="PN136" s="1"/>
      <c r="PO136" s="1"/>
      <c r="PP136" s="1"/>
      <c r="PQ136" s="1"/>
      <c r="PR136" s="1"/>
      <c r="PS136" s="1"/>
      <c r="PT136" s="1"/>
      <c r="PU136" s="1"/>
      <c r="PV136" s="1"/>
      <c r="PW136" s="1"/>
    </row>
    <row r="137" spans="1:439" x14ac:dyDescent="0.2">
      <c r="A137" s="1"/>
      <c r="C137" s="37"/>
      <c r="G137" s="61"/>
      <c r="H137" s="61"/>
      <c r="I137" s="61"/>
      <c r="J137" s="1"/>
      <c r="K137" s="71"/>
      <c r="L137" s="2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  <c r="IX137" s="1"/>
      <c r="IY137" s="1"/>
      <c r="IZ137" s="1"/>
      <c r="JA137" s="1"/>
      <c r="JB137" s="1"/>
      <c r="JC137" s="1"/>
      <c r="JD137" s="1"/>
      <c r="JE137" s="1"/>
      <c r="JF137" s="1"/>
      <c r="JG137" s="1"/>
      <c r="JH137" s="1"/>
      <c r="JI137" s="1"/>
      <c r="JJ137" s="1"/>
      <c r="JK137" s="1"/>
      <c r="JL137" s="1"/>
      <c r="JM137" s="1"/>
      <c r="JN137" s="1"/>
      <c r="JO137" s="1"/>
      <c r="JP137" s="1"/>
      <c r="JQ137" s="1"/>
      <c r="JR137" s="1"/>
      <c r="JS137" s="1"/>
      <c r="JT137" s="1"/>
      <c r="JU137" s="1"/>
      <c r="JV137" s="1"/>
      <c r="JW137" s="1"/>
      <c r="JX137" s="1"/>
      <c r="JY137" s="1"/>
      <c r="JZ137" s="1"/>
      <c r="KA137" s="1"/>
      <c r="KB137" s="1"/>
      <c r="KC137" s="1"/>
      <c r="KD137" s="1"/>
      <c r="KE137" s="1"/>
      <c r="KF137" s="1"/>
      <c r="KG137" s="1"/>
      <c r="KH137" s="1"/>
      <c r="KI137" s="1"/>
      <c r="KJ137" s="1"/>
      <c r="KK137" s="1"/>
      <c r="KL137" s="1"/>
      <c r="KM137" s="1"/>
      <c r="KN137" s="1"/>
      <c r="KO137" s="1"/>
      <c r="KP137" s="1"/>
      <c r="KQ137" s="1"/>
      <c r="KR137" s="1"/>
      <c r="KS137" s="1"/>
      <c r="KT137" s="1"/>
      <c r="KU137" s="1"/>
      <c r="KV137" s="1"/>
      <c r="KW137" s="1"/>
      <c r="KX137" s="1"/>
      <c r="KY137" s="1"/>
      <c r="KZ137" s="1"/>
      <c r="LA137" s="1"/>
      <c r="LB137" s="1"/>
      <c r="LC137" s="1"/>
      <c r="LD137" s="1"/>
      <c r="LE137" s="1"/>
      <c r="LF137" s="1"/>
      <c r="LG137" s="1"/>
      <c r="LH137" s="1"/>
      <c r="LI137" s="1"/>
      <c r="LJ137" s="1"/>
      <c r="LK137" s="1"/>
      <c r="LL137" s="1"/>
      <c r="LM137" s="1"/>
      <c r="LN137" s="1"/>
      <c r="LO137" s="1"/>
      <c r="LP137" s="1"/>
      <c r="LQ137" s="1"/>
      <c r="LR137" s="1"/>
      <c r="LS137" s="1"/>
      <c r="LT137" s="1"/>
      <c r="LU137" s="1"/>
      <c r="LV137" s="1"/>
      <c r="LW137" s="1"/>
      <c r="LX137" s="1"/>
      <c r="LY137" s="1"/>
      <c r="LZ137" s="1"/>
      <c r="MA137" s="1"/>
      <c r="MB137" s="1"/>
      <c r="MC137" s="1"/>
      <c r="MD137" s="1"/>
      <c r="ME137" s="1"/>
      <c r="MF137" s="1"/>
      <c r="MG137" s="1"/>
      <c r="MH137" s="1"/>
      <c r="MI137" s="1"/>
      <c r="MJ137" s="1"/>
      <c r="MK137" s="1"/>
      <c r="ML137" s="1"/>
      <c r="MM137" s="1"/>
      <c r="MN137" s="1"/>
      <c r="MO137" s="1"/>
      <c r="MP137" s="1"/>
      <c r="MQ137" s="1"/>
      <c r="MR137" s="1"/>
      <c r="MS137" s="1"/>
      <c r="MT137" s="1"/>
      <c r="MU137" s="1"/>
      <c r="MV137" s="1"/>
      <c r="MW137" s="1"/>
      <c r="MX137" s="1"/>
      <c r="MY137" s="1"/>
      <c r="MZ137" s="1"/>
      <c r="NA137" s="1"/>
      <c r="NB137" s="1"/>
      <c r="NC137" s="1"/>
      <c r="ND137" s="1"/>
      <c r="NE137" s="1"/>
      <c r="NF137" s="1"/>
      <c r="NG137" s="1"/>
      <c r="NH137" s="1"/>
      <c r="NI137" s="1"/>
      <c r="NJ137" s="1"/>
      <c r="NK137" s="1"/>
      <c r="NL137" s="1"/>
      <c r="NM137" s="1"/>
      <c r="NN137" s="1"/>
      <c r="NO137" s="1"/>
      <c r="NP137" s="1"/>
      <c r="NQ137" s="1"/>
      <c r="NR137" s="1"/>
      <c r="NS137" s="1"/>
      <c r="NT137" s="1"/>
      <c r="NU137" s="1"/>
      <c r="NV137" s="1"/>
      <c r="NW137" s="1"/>
      <c r="NX137" s="1"/>
      <c r="NY137" s="1"/>
      <c r="NZ137" s="1"/>
      <c r="OA137" s="1"/>
      <c r="OB137" s="1"/>
      <c r="OC137" s="1"/>
      <c r="OD137" s="1"/>
      <c r="OE137" s="1"/>
      <c r="OF137" s="1"/>
      <c r="OG137" s="1"/>
      <c r="OH137" s="1"/>
      <c r="OI137" s="1"/>
      <c r="OJ137" s="1"/>
      <c r="OK137" s="1"/>
      <c r="OL137" s="1"/>
      <c r="OM137" s="1"/>
      <c r="ON137" s="1"/>
      <c r="OO137" s="1"/>
      <c r="OP137" s="1"/>
      <c r="OQ137" s="1"/>
      <c r="OR137" s="1"/>
      <c r="OS137" s="1"/>
      <c r="OT137" s="1"/>
      <c r="OU137" s="1"/>
      <c r="OV137" s="1"/>
      <c r="OW137" s="1"/>
      <c r="OX137" s="1"/>
      <c r="OY137" s="1"/>
      <c r="OZ137" s="1"/>
      <c r="PA137" s="1"/>
      <c r="PB137" s="1"/>
      <c r="PC137" s="1"/>
      <c r="PD137" s="1"/>
      <c r="PE137" s="1"/>
      <c r="PF137" s="1"/>
      <c r="PG137" s="1"/>
      <c r="PH137" s="1"/>
      <c r="PI137" s="1"/>
      <c r="PJ137" s="1"/>
      <c r="PK137" s="1"/>
      <c r="PL137" s="1"/>
      <c r="PM137" s="1"/>
      <c r="PN137" s="1"/>
      <c r="PO137" s="1"/>
      <c r="PP137" s="1"/>
      <c r="PQ137" s="1"/>
      <c r="PR137" s="1"/>
      <c r="PS137" s="1"/>
      <c r="PT137" s="1"/>
      <c r="PU137" s="1"/>
      <c r="PV137" s="1"/>
      <c r="PW137" s="1"/>
    </row>
    <row r="138" spans="1:439" x14ac:dyDescent="0.2">
      <c r="A138" s="1"/>
      <c r="C138" s="37"/>
      <c r="G138" s="61"/>
      <c r="H138" s="61"/>
      <c r="I138" s="61"/>
      <c r="J138" s="1"/>
      <c r="K138" s="71"/>
      <c r="L138" s="2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</row>
    <row r="139" spans="1:439" x14ac:dyDescent="0.2">
      <c r="A139" s="1"/>
      <c r="C139" s="37"/>
      <c r="G139" s="61"/>
      <c r="H139" s="61"/>
      <c r="I139" s="61"/>
      <c r="J139" s="1"/>
      <c r="K139" s="71"/>
      <c r="L139" s="2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  <c r="IX139" s="1"/>
      <c r="IY139" s="1"/>
      <c r="IZ139" s="1"/>
      <c r="JA139" s="1"/>
      <c r="JB139" s="1"/>
      <c r="JC139" s="1"/>
      <c r="JD139" s="1"/>
      <c r="JE139" s="1"/>
      <c r="JF139" s="1"/>
      <c r="JG139" s="1"/>
      <c r="JH139" s="1"/>
      <c r="JI139" s="1"/>
      <c r="JJ139" s="1"/>
      <c r="JK139" s="1"/>
      <c r="JL139" s="1"/>
      <c r="JM139" s="1"/>
      <c r="JN139" s="1"/>
      <c r="JO139" s="1"/>
      <c r="JP139" s="1"/>
      <c r="JQ139" s="1"/>
      <c r="JR139" s="1"/>
      <c r="JS139" s="1"/>
      <c r="JT139" s="1"/>
      <c r="JU139" s="1"/>
      <c r="JV139" s="1"/>
      <c r="JW139" s="1"/>
      <c r="JX139" s="1"/>
      <c r="JY139" s="1"/>
      <c r="JZ139" s="1"/>
      <c r="KA139" s="1"/>
      <c r="KB139" s="1"/>
      <c r="KC139" s="1"/>
      <c r="KD139" s="1"/>
      <c r="KE139" s="1"/>
      <c r="KF139" s="1"/>
      <c r="KG139" s="1"/>
      <c r="KH139" s="1"/>
      <c r="KI139" s="1"/>
      <c r="KJ139" s="1"/>
      <c r="KK139" s="1"/>
      <c r="KL139" s="1"/>
      <c r="KM139" s="1"/>
      <c r="KN139" s="1"/>
      <c r="KO139" s="1"/>
      <c r="KP139" s="1"/>
      <c r="KQ139" s="1"/>
      <c r="KR139" s="1"/>
      <c r="KS139" s="1"/>
      <c r="KT139" s="1"/>
      <c r="KU139" s="1"/>
      <c r="KV139" s="1"/>
      <c r="KW139" s="1"/>
      <c r="KX139" s="1"/>
      <c r="KY139" s="1"/>
      <c r="KZ139" s="1"/>
      <c r="LA139" s="1"/>
      <c r="LB139" s="1"/>
      <c r="LC139" s="1"/>
      <c r="LD139" s="1"/>
      <c r="LE139" s="1"/>
      <c r="LF139" s="1"/>
      <c r="LG139" s="1"/>
      <c r="LH139" s="1"/>
      <c r="LI139" s="1"/>
      <c r="LJ139" s="1"/>
      <c r="LK139" s="1"/>
      <c r="LL139" s="1"/>
      <c r="LM139" s="1"/>
      <c r="LN139" s="1"/>
      <c r="LO139" s="1"/>
      <c r="LP139" s="1"/>
      <c r="LQ139" s="1"/>
      <c r="LR139" s="1"/>
      <c r="LS139" s="1"/>
      <c r="LT139" s="1"/>
      <c r="LU139" s="1"/>
      <c r="LV139" s="1"/>
      <c r="LW139" s="1"/>
      <c r="LX139" s="1"/>
      <c r="LY139" s="1"/>
      <c r="LZ139" s="1"/>
      <c r="MA139" s="1"/>
      <c r="MB139" s="1"/>
      <c r="MC139" s="1"/>
      <c r="MD139" s="1"/>
      <c r="ME139" s="1"/>
      <c r="MF139" s="1"/>
      <c r="MG139" s="1"/>
      <c r="MH139" s="1"/>
      <c r="MI139" s="1"/>
      <c r="MJ139" s="1"/>
      <c r="MK139" s="1"/>
      <c r="ML139" s="1"/>
      <c r="MM139" s="1"/>
      <c r="MN139" s="1"/>
      <c r="MO139" s="1"/>
      <c r="MP139" s="1"/>
      <c r="MQ139" s="1"/>
      <c r="MR139" s="1"/>
      <c r="MS139" s="1"/>
      <c r="MT139" s="1"/>
      <c r="MU139" s="1"/>
      <c r="MV139" s="1"/>
      <c r="MW139" s="1"/>
      <c r="MX139" s="1"/>
      <c r="MY139" s="1"/>
      <c r="MZ139" s="1"/>
      <c r="NA139" s="1"/>
      <c r="NB139" s="1"/>
      <c r="NC139" s="1"/>
      <c r="ND139" s="1"/>
      <c r="NE139" s="1"/>
      <c r="NF139" s="1"/>
      <c r="NG139" s="1"/>
      <c r="NH139" s="1"/>
      <c r="NI139" s="1"/>
      <c r="NJ139" s="1"/>
      <c r="NK139" s="1"/>
      <c r="NL139" s="1"/>
      <c r="NM139" s="1"/>
      <c r="NN139" s="1"/>
      <c r="NO139" s="1"/>
      <c r="NP139" s="1"/>
      <c r="NQ139" s="1"/>
      <c r="NR139" s="1"/>
      <c r="NS139" s="1"/>
      <c r="NT139" s="1"/>
      <c r="NU139" s="1"/>
      <c r="NV139" s="1"/>
      <c r="NW139" s="1"/>
      <c r="NX139" s="1"/>
      <c r="NY139" s="1"/>
      <c r="NZ139" s="1"/>
      <c r="OA139" s="1"/>
      <c r="OB139" s="1"/>
      <c r="OC139" s="1"/>
      <c r="OD139" s="1"/>
      <c r="OE139" s="1"/>
      <c r="OF139" s="1"/>
      <c r="OG139" s="1"/>
      <c r="OH139" s="1"/>
      <c r="OI139" s="1"/>
      <c r="OJ139" s="1"/>
      <c r="OK139" s="1"/>
      <c r="OL139" s="1"/>
      <c r="OM139" s="1"/>
      <c r="ON139" s="1"/>
      <c r="OO139" s="1"/>
      <c r="OP139" s="1"/>
      <c r="OQ139" s="1"/>
      <c r="OR139" s="1"/>
      <c r="OS139" s="1"/>
      <c r="OT139" s="1"/>
      <c r="OU139" s="1"/>
      <c r="OV139" s="1"/>
      <c r="OW139" s="1"/>
      <c r="OX139" s="1"/>
      <c r="OY139" s="1"/>
      <c r="OZ139" s="1"/>
      <c r="PA139" s="1"/>
      <c r="PB139" s="1"/>
      <c r="PC139" s="1"/>
      <c r="PD139" s="1"/>
      <c r="PE139" s="1"/>
      <c r="PF139" s="1"/>
      <c r="PG139" s="1"/>
      <c r="PH139" s="1"/>
      <c r="PI139" s="1"/>
      <c r="PJ139" s="1"/>
      <c r="PK139" s="1"/>
      <c r="PL139" s="1"/>
      <c r="PM139" s="1"/>
      <c r="PN139" s="1"/>
      <c r="PO139" s="1"/>
      <c r="PP139" s="1"/>
      <c r="PQ139" s="1"/>
      <c r="PR139" s="1"/>
      <c r="PS139" s="1"/>
      <c r="PT139" s="1"/>
      <c r="PU139" s="1"/>
      <c r="PV139" s="1"/>
      <c r="PW139" s="1"/>
    </row>
    <row r="140" spans="1:439" x14ac:dyDescent="0.2">
      <c r="A140" s="1"/>
      <c r="C140" s="37"/>
      <c r="G140" s="61"/>
      <c r="H140" s="61"/>
      <c r="I140" s="61"/>
      <c r="J140" s="1"/>
      <c r="K140" s="71"/>
      <c r="L140" s="2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  <c r="IX140" s="1"/>
      <c r="IY140" s="1"/>
      <c r="IZ140" s="1"/>
      <c r="JA140" s="1"/>
      <c r="JB140" s="1"/>
      <c r="JC140" s="1"/>
      <c r="JD140" s="1"/>
      <c r="JE140" s="1"/>
      <c r="JF140" s="1"/>
      <c r="JG140" s="1"/>
      <c r="JH140" s="1"/>
      <c r="JI140" s="1"/>
      <c r="JJ140" s="1"/>
      <c r="JK140" s="1"/>
      <c r="JL140" s="1"/>
      <c r="JM140" s="1"/>
      <c r="JN140" s="1"/>
      <c r="JO140" s="1"/>
      <c r="JP140" s="1"/>
      <c r="JQ140" s="1"/>
      <c r="JR140" s="1"/>
      <c r="JS140" s="1"/>
      <c r="JT140" s="1"/>
      <c r="JU140" s="1"/>
      <c r="JV140" s="1"/>
      <c r="JW140" s="1"/>
      <c r="JX140" s="1"/>
      <c r="JY140" s="1"/>
      <c r="JZ140" s="1"/>
      <c r="KA140" s="1"/>
      <c r="KB140" s="1"/>
      <c r="KC140" s="1"/>
      <c r="KD140" s="1"/>
      <c r="KE140" s="1"/>
      <c r="KF140" s="1"/>
      <c r="KG140" s="1"/>
      <c r="KH140" s="1"/>
      <c r="KI140" s="1"/>
      <c r="KJ140" s="1"/>
      <c r="KK140" s="1"/>
      <c r="KL140" s="1"/>
      <c r="KM140" s="1"/>
      <c r="KN140" s="1"/>
      <c r="KO140" s="1"/>
      <c r="KP140" s="1"/>
      <c r="KQ140" s="1"/>
      <c r="KR140" s="1"/>
      <c r="KS140" s="1"/>
      <c r="KT140" s="1"/>
      <c r="KU140" s="1"/>
      <c r="KV140" s="1"/>
      <c r="KW140" s="1"/>
      <c r="KX140" s="1"/>
      <c r="KY140" s="1"/>
      <c r="KZ140" s="1"/>
      <c r="LA140" s="1"/>
      <c r="LB140" s="1"/>
      <c r="LC140" s="1"/>
      <c r="LD140" s="1"/>
      <c r="LE140" s="1"/>
      <c r="LF140" s="1"/>
      <c r="LG140" s="1"/>
      <c r="LH140" s="1"/>
      <c r="LI140" s="1"/>
      <c r="LJ140" s="1"/>
      <c r="LK140" s="1"/>
      <c r="LL140" s="1"/>
      <c r="LM140" s="1"/>
      <c r="LN140" s="1"/>
      <c r="LO140" s="1"/>
      <c r="LP140" s="1"/>
      <c r="LQ140" s="1"/>
      <c r="LR140" s="1"/>
      <c r="LS140" s="1"/>
      <c r="LT140" s="1"/>
      <c r="LU140" s="1"/>
      <c r="LV140" s="1"/>
      <c r="LW140" s="1"/>
      <c r="LX140" s="1"/>
      <c r="LY140" s="1"/>
      <c r="LZ140" s="1"/>
      <c r="MA140" s="1"/>
      <c r="MB140" s="1"/>
      <c r="MC140" s="1"/>
      <c r="MD140" s="1"/>
      <c r="ME140" s="1"/>
      <c r="MF140" s="1"/>
      <c r="MG140" s="1"/>
      <c r="MH140" s="1"/>
      <c r="MI140" s="1"/>
      <c r="MJ140" s="1"/>
      <c r="MK140" s="1"/>
      <c r="ML140" s="1"/>
      <c r="MM140" s="1"/>
      <c r="MN140" s="1"/>
      <c r="MO140" s="1"/>
      <c r="MP140" s="1"/>
      <c r="MQ140" s="1"/>
      <c r="MR140" s="1"/>
      <c r="MS140" s="1"/>
      <c r="MT140" s="1"/>
      <c r="MU140" s="1"/>
      <c r="MV140" s="1"/>
      <c r="MW140" s="1"/>
      <c r="MX140" s="1"/>
      <c r="MY140" s="1"/>
      <c r="MZ140" s="1"/>
      <c r="NA140" s="1"/>
      <c r="NB140" s="1"/>
      <c r="NC140" s="1"/>
      <c r="ND140" s="1"/>
      <c r="NE140" s="1"/>
      <c r="NF140" s="1"/>
      <c r="NG140" s="1"/>
      <c r="NH140" s="1"/>
      <c r="NI140" s="1"/>
      <c r="NJ140" s="1"/>
      <c r="NK140" s="1"/>
      <c r="NL140" s="1"/>
      <c r="NM140" s="1"/>
      <c r="NN140" s="1"/>
      <c r="NO140" s="1"/>
      <c r="NP140" s="1"/>
      <c r="NQ140" s="1"/>
      <c r="NR140" s="1"/>
      <c r="NS140" s="1"/>
      <c r="NT140" s="1"/>
      <c r="NU140" s="1"/>
      <c r="NV140" s="1"/>
      <c r="NW140" s="1"/>
      <c r="NX140" s="1"/>
      <c r="NY140" s="1"/>
      <c r="NZ140" s="1"/>
      <c r="OA140" s="1"/>
      <c r="OB140" s="1"/>
      <c r="OC140" s="1"/>
      <c r="OD140" s="1"/>
      <c r="OE140" s="1"/>
      <c r="OF140" s="1"/>
      <c r="OG140" s="1"/>
      <c r="OH140" s="1"/>
      <c r="OI140" s="1"/>
      <c r="OJ140" s="1"/>
      <c r="OK140" s="1"/>
      <c r="OL140" s="1"/>
      <c r="OM140" s="1"/>
      <c r="ON140" s="1"/>
      <c r="OO140" s="1"/>
      <c r="OP140" s="1"/>
      <c r="OQ140" s="1"/>
      <c r="OR140" s="1"/>
      <c r="OS140" s="1"/>
      <c r="OT140" s="1"/>
      <c r="OU140" s="1"/>
      <c r="OV140" s="1"/>
      <c r="OW140" s="1"/>
      <c r="OX140" s="1"/>
      <c r="OY140" s="1"/>
      <c r="OZ140" s="1"/>
      <c r="PA140" s="1"/>
      <c r="PB140" s="1"/>
      <c r="PC140" s="1"/>
      <c r="PD140" s="1"/>
      <c r="PE140" s="1"/>
      <c r="PF140" s="1"/>
      <c r="PG140" s="1"/>
      <c r="PH140" s="1"/>
      <c r="PI140" s="1"/>
      <c r="PJ140" s="1"/>
      <c r="PK140" s="1"/>
      <c r="PL140" s="1"/>
      <c r="PM140" s="1"/>
      <c r="PN140" s="1"/>
      <c r="PO140" s="1"/>
      <c r="PP140" s="1"/>
      <c r="PQ140" s="1"/>
      <c r="PR140" s="1"/>
      <c r="PS140" s="1"/>
      <c r="PT140" s="1"/>
      <c r="PU140" s="1"/>
      <c r="PV140" s="1"/>
      <c r="PW140" s="1"/>
    </row>
    <row r="141" spans="1:439" x14ac:dyDescent="0.2">
      <c r="A141" s="1"/>
      <c r="C141" s="37"/>
      <c r="G141" s="61"/>
      <c r="H141" s="61"/>
      <c r="I141" s="61"/>
      <c r="J141" s="1"/>
      <c r="K141" s="71"/>
      <c r="L141" s="2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  <c r="IX141" s="1"/>
      <c r="IY141" s="1"/>
      <c r="IZ141" s="1"/>
      <c r="JA141" s="1"/>
      <c r="JB141" s="1"/>
      <c r="JC141" s="1"/>
      <c r="JD141" s="1"/>
      <c r="JE141" s="1"/>
      <c r="JF141" s="1"/>
      <c r="JG141" s="1"/>
      <c r="JH141" s="1"/>
      <c r="JI141" s="1"/>
      <c r="JJ141" s="1"/>
      <c r="JK141" s="1"/>
      <c r="JL141" s="1"/>
      <c r="JM141" s="1"/>
      <c r="JN141" s="1"/>
      <c r="JO141" s="1"/>
      <c r="JP141" s="1"/>
      <c r="JQ141" s="1"/>
      <c r="JR141" s="1"/>
      <c r="JS141" s="1"/>
      <c r="JT141" s="1"/>
      <c r="JU141" s="1"/>
      <c r="JV141" s="1"/>
      <c r="JW141" s="1"/>
      <c r="JX141" s="1"/>
      <c r="JY141" s="1"/>
      <c r="JZ141" s="1"/>
      <c r="KA141" s="1"/>
      <c r="KB141" s="1"/>
      <c r="KC141" s="1"/>
      <c r="KD141" s="1"/>
      <c r="KE141" s="1"/>
      <c r="KF141" s="1"/>
      <c r="KG141" s="1"/>
      <c r="KH141" s="1"/>
      <c r="KI141" s="1"/>
      <c r="KJ141" s="1"/>
      <c r="KK141" s="1"/>
      <c r="KL141" s="1"/>
      <c r="KM141" s="1"/>
      <c r="KN141" s="1"/>
      <c r="KO141" s="1"/>
      <c r="KP141" s="1"/>
      <c r="KQ141" s="1"/>
      <c r="KR141" s="1"/>
      <c r="KS141" s="1"/>
      <c r="KT141" s="1"/>
      <c r="KU141" s="1"/>
      <c r="KV141" s="1"/>
      <c r="KW141" s="1"/>
      <c r="KX141" s="1"/>
      <c r="KY141" s="1"/>
      <c r="KZ141" s="1"/>
      <c r="LA141" s="1"/>
      <c r="LB141" s="1"/>
      <c r="LC141" s="1"/>
      <c r="LD141" s="1"/>
      <c r="LE141" s="1"/>
      <c r="LF141" s="1"/>
      <c r="LG141" s="1"/>
      <c r="LH141" s="1"/>
      <c r="LI141" s="1"/>
      <c r="LJ141" s="1"/>
      <c r="LK141" s="1"/>
      <c r="LL141" s="1"/>
      <c r="LM141" s="1"/>
      <c r="LN141" s="1"/>
      <c r="LO141" s="1"/>
      <c r="LP141" s="1"/>
      <c r="LQ141" s="1"/>
      <c r="LR141" s="1"/>
      <c r="LS141" s="1"/>
      <c r="LT141" s="1"/>
      <c r="LU141" s="1"/>
      <c r="LV141" s="1"/>
      <c r="LW141" s="1"/>
      <c r="LX141" s="1"/>
      <c r="LY141" s="1"/>
      <c r="LZ141" s="1"/>
      <c r="MA141" s="1"/>
      <c r="MB141" s="1"/>
      <c r="MC141" s="1"/>
      <c r="MD141" s="1"/>
      <c r="ME141" s="1"/>
      <c r="MF141" s="1"/>
      <c r="MG141" s="1"/>
      <c r="MH141" s="1"/>
      <c r="MI141" s="1"/>
      <c r="MJ141" s="1"/>
      <c r="MK141" s="1"/>
      <c r="ML141" s="1"/>
      <c r="MM141" s="1"/>
      <c r="MN141" s="1"/>
      <c r="MO141" s="1"/>
      <c r="MP141" s="1"/>
      <c r="MQ141" s="1"/>
      <c r="MR141" s="1"/>
      <c r="MS141" s="1"/>
      <c r="MT141" s="1"/>
      <c r="MU141" s="1"/>
      <c r="MV141" s="1"/>
      <c r="MW141" s="1"/>
      <c r="MX141" s="1"/>
      <c r="MY141" s="1"/>
      <c r="MZ141" s="1"/>
      <c r="NA141" s="1"/>
      <c r="NB141" s="1"/>
      <c r="NC141" s="1"/>
      <c r="ND141" s="1"/>
      <c r="NE141" s="1"/>
      <c r="NF141" s="1"/>
      <c r="NG141" s="1"/>
      <c r="NH141" s="1"/>
      <c r="NI141" s="1"/>
      <c r="NJ141" s="1"/>
      <c r="NK141" s="1"/>
      <c r="NL141" s="1"/>
      <c r="NM141" s="1"/>
      <c r="NN141" s="1"/>
      <c r="NO141" s="1"/>
      <c r="NP141" s="1"/>
      <c r="NQ141" s="1"/>
      <c r="NR141" s="1"/>
      <c r="NS141" s="1"/>
      <c r="NT141" s="1"/>
      <c r="NU141" s="1"/>
      <c r="NV141" s="1"/>
      <c r="NW141" s="1"/>
      <c r="NX141" s="1"/>
      <c r="NY141" s="1"/>
      <c r="NZ141" s="1"/>
      <c r="OA141" s="1"/>
      <c r="OB141" s="1"/>
      <c r="OC141" s="1"/>
      <c r="OD141" s="1"/>
      <c r="OE141" s="1"/>
      <c r="OF141" s="1"/>
      <c r="OG141" s="1"/>
      <c r="OH141" s="1"/>
      <c r="OI141" s="1"/>
      <c r="OJ141" s="1"/>
      <c r="OK141" s="1"/>
      <c r="OL141" s="1"/>
      <c r="OM141" s="1"/>
      <c r="ON141" s="1"/>
      <c r="OO141" s="1"/>
      <c r="OP141" s="1"/>
      <c r="OQ141" s="1"/>
      <c r="OR141" s="1"/>
      <c r="OS141" s="1"/>
      <c r="OT141" s="1"/>
      <c r="OU141" s="1"/>
      <c r="OV141" s="1"/>
      <c r="OW141" s="1"/>
      <c r="OX141" s="1"/>
      <c r="OY141" s="1"/>
      <c r="OZ141" s="1"/>
      <c r="PA141" s="1"/>
      <c r="PB141" s="1"/>
      <c r="PC141" s="1"/>
      <c r="PD141" s="1"/>
      <c r="PE141" s="1"/>
      <c r="PF141" s="1"/>
      <c r="PG141" s="1"/>
      <c r="PH141" s="1"/>
      <c r="PI141" s="1"/>
      <c r="PJ141" s="1"/>
      <c r="PK141" s="1"/>
      <c r="PL141" s="1"/>
      <c r="PM141" s="1"/>
      <c r="PN141" s="1"/>
      <c r="PO141" s="1"/>
      <c r="PP141" s="1"/>
      <c r="PQ141" s="1"/>
      <c r="PR141" s="1"/>
      <c r="PS141" s="1"/>
      <c r="PT141" s="1"/>
      <c r="PU141" s="1"/>
      <c r="PV141" s="1"/>
      <c r="PW141" s="1"/>
    </row>
    <row r="142" spans="1:439" x14ac:dyDescent="0.2">
      <c r="A142" s="1"/>
      <c r="C142" s="37"/>
      <c r="G142" s="61"/>
      <c r="H142" s="61"/>
      <c r="I142" s="61"/>
      <c r="J142" s="1"/>
      <c r="K142" s="71"/>
      <c r="L142" s="2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  <c r="IX142" s="1"/>
      <c r="IY142" s="1"/>
      <c r="IZ142" s="1"/>
      <c r="JA142" s="1"/>
      <c r="JB142" s="1"/>
      <c r="JC142" s="1"/>
      <c r="JD142" s="1"/>
      <c r="JE142" s="1"/>
      <c r="JF142" s="1"/>
      <c r="JG142" s="1"/>
      <c r="JH142" s="1"/>
      <c r="JI142" s="1"/>
      <c r="JJ142" s="1"/>
      <c r="JK142" s="1"/>
      <c r="JL142" s="1"/>
      <c r="JM142" s="1"/>
      <c r="JN142" s="1"/>
      <c r="JO142" s="1"/>
      <c r="JP142" s="1"/>
      <c r="JQ142" s="1"/>
      <c r="JR142" s="1"/>
      <c r="JS142" s="1"/>
      <c r="JT142" s="1"/>
      <c r="JU142" s="1"/>
      <c r="JV142" s="1"/>
      <c r="JW142" s="1"/>
      <c r="JX142" s="1"/>
      <c r="JY142" s="1"/>
      <c r="JZ142" s="1"/>
      <c r="KA142" s="1"/>
      <c r="KB142" s="1"/>
      <c r="KC142" s="1"/>
      <c r="KD142" s="1"/>
      <c r="KE142" s="1"/>
      <c r="KF142" s="1"/>
      <c r="KG142" s="1"/>
      <c r="KH142" s="1"/>
      <c r="KI142" s="1"/>
      <c r="KJ142" s="1"/>
      <c r="KK142" s="1"/>
      <c r="KL142" s="1"/>
      <c r="KM142" s="1"/>
      <c r="KN142" s="1"/>
      <c r="KO142" s="1"/>
      <c r="KP142" s="1"/>
      <c r="KQ142" s="1"/>
      <c r="KR142" s="1"/>
      <c r="KS142" s="1"/>
      <c r="KT142" s="1"/>
      <c r="KU142" s="1"/>
      <c r="KV142" s="1"/>
      <c r="KW142" s="1"/>
      <c r="KX142" s="1"/>
      <c r="KY142" s="1"/>
      <c r="KZ142" s="1"/>
      <c r="LA142" s="1"/>
      <c r="LB142" s="1"/>
      <c r="LC142" s="1"/>
      <c r="LD142" s="1"/>
      <c r="LE142" s="1"/>
      <c r="LF142" s="1"/>
      <c r="LG142" s="1"/>
      <c r="LH142" s="1"/>
      <c r="LI142" s="1"/>
      <c r="LJ142" s="1"/>
      <c r="LK142" s="1"/>
      <c r="LL142" s="1"/>
      <c r="LM142" s="1"/>
      <c r="LN142" s="1"/>
      <c r="LO142" s="1"/>
      <c r="LP142" s="1"/>
      <c r="LQ142" s="1"/>
      <c r="LR142" s="1"/>
      <c r="LS142" s="1"/>
      <c r="LT142" s="1"/>
      <c r="LU142" s="1"/>
      <c r="LV142" s="1"/>
      <c r="LW142" s="1"/>
      <c r="LX142" s="1"/>
      <c r="LY142" s="1"/>
      <c r="LZ142" s="1"/>
      <c r="MA142" s="1"/>
      <c r="MB142" s="1"/>
      <c r="MC142" s="1"/>
      <c r="MD142" s="1"/>
      <c r="ME142" s="1"/>
      <c r="MF142" s="1"/>
      <c r="MG142" s="1"/>
      <c r="MH142" s="1"/>
      <c r="MI142" s="1"/>
      <c r="MJ142" s="1"/>
      <c r="MK142" s="1"/>
      <c r="ML142" s="1"/>
      <c r="MM142" s="1"/>
      <c r="MN142" s="1"/>
      <c r="MO142" s="1"/>
      <c r="MP142" s="1"/>
      <c r="MQ142" s="1"/>
      <c r="MR142" s="1"/>
      <c r="MS142" s="1"/>
      <c r="MT142" s="1"/>
      <c r="MU142" s="1"/>
      <c r="MV142" s="1"/>
      <c r="MW142" s="1"/>
      <c r="MX142" s="1"/>
      <c r="MY142" s="1"/>
      <c r="MZ142" s="1"/>
      <c r="NA142" s="1"/>
      <c r="NB142" s="1"/>
      <c r="NC142" s="1"/>
      <c r="ND142" s="1"/>
      <c r="NE142" s="1"/>
      <c r="NF142" s="1"/>
      <c r="NG142" s="1"/>
      <c r="NH142" s="1"/>
      <c r="NI142" s="1"/>
      <c r="NJ142" s="1"/>
      <c r="NK142" s="1"/>
      <c r="NL142" s="1"/>
      <c r="NM142" s="1"/>
      <c r="NN142" s="1"/>
      <c r="NO142" s="1"/>
      <c r="NP142" s="1"/>
      <c r="NQ142" s="1"/>
      <c r="NR142" s="1"/>
      <c r="NS142" s="1"/>
      <c r="NT142" s="1"/>
      <c r="NU142" s="1"/>
      <c r="NV142" s="1"/>
      <c r="NW142" s="1"/>
      <c r="NX142" s="1"/>
      <c r="NY142" s="1"/>
      <c r="NZ142" s="1"/>
      <c r="OA142" s="1"/>
      <c r="OB142" s="1"/>
      <c r="OC142" s="1"/>
      <c r="OD142" s="1"/>
      <c r="OE142" s="1"/>
      <c r="OF142" s="1"/>
      <c r="OG142" s="1"/>
      <c r="OH142" s="1"/>
      <c r="OI142" s="1"/>
      <c r="OJ142" s="1"/>
      <c r="OK142" s="1"/>
      <c r="OL142" s="1"/>
      <c r="OM142" s="1"/>
      <c r="ON142" s="1"/>
      <c r="OO142" s="1"/>
      <c r="OP142" s="1"/>
      <c r="OQ142" s="1"/>
      <c r="OR142" s="1"/>
      <c r="OS142" s="1"/>
      <c r="OT142" s="1"/>
      <c r="OU142" s="1"/>
      <c r="OV142" s="1"/>
      <c r="OW142" s="1"/>
      <c r="OX142" s="1"/>
      <c r="OY142" s="1"/>
      <c r="OZ142" s="1"/>
      <c r="PA142" s="1"/>
      <c r="PB142" s="1"/>
      <c r="PC142" s="1"/>
      <c r="PD142" s="1"/>
      <c r="PE142" s="1"/>
      <c r="PF142" s="1"/>
      <c r="PG142" s="1"/>
      <c r="PH142" s="1"/>
      <c r="PI142" s="1"/>
      <c r="PJ142" s="1"/>
      <c r="PK142" s="1"/>
      <c r="PL142" s="1"/>
      <c r="PM142" s="1"/>
      <c r="PN142" s="1"/>
      <c r="PO142" s="1"/>
      <c r="PP142" s="1"/>
      <c r="PQ142" s="1"/>
      <c r="PR142" s="1"/>
      <c r="PS142" s="1"/>
      <c r="PT142" s="1"/>
      <c r="PU142" s="1"/>
      <c r="PV142" s="1"/>
      <c r="PW142" s="1"/>
    </row>
    <row r="143" spans="1:439" x14ac:dyDescent="0.2">
      <c r="A143" s="1"/>
      <c r="C143" s="37"/>
      <c r="G143" s="61"/>
      <c r="H143" s="61"/>
      <c r="I143" s="61"/>
      <c r="J143" s="1"/>
      <c r="K143" s="71"/>
      <c r="L143" s="2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  <c r="IX143" s="1"/>
      <c r="IY143" s="1"/>
      <c r="IZ143" s="1"/>
      <c r="JA143" s="1"/>
      <c r="JB143" s="1"/>
      <c r="JC143" s="1"/>
      <c r="JD143" s="1"/>
      <c r="JE143" s="1"/>
      <c r="JF143" s="1"/>
      <c r="JG143" s="1"/>
      <c r="JH143" s="1"/>
      <c r="JI143" s="1"/>
      <c r="JJ143" s="1"/>
      <c r="JK143" s="1"/>
      <c r="JL143" s="1"/>
      <c r="JM143" s="1"/>
      <c r="JN143" s="1"/>
      <c r="JO143" s="1"/>
      <c r="JP143" s="1"/>
      <c r="JQ143" s="1"/>
      <c r="JR143" s="1"/>
      <c r="JS143" s="1"/>
      <c r="JT143" s="1"/>
      <c r="JU143" s="1"/>
      <c r="JV143" s="1"/>
      <c r="JW143" s="1"/>
      <c r="JX143" s="1"/>
      <c r="JY143" s="1"/>
      <c r="JZ143" s="1"/>
      <c r="KA143" s="1"/>
      <c r="KB143" s="1"/>
      <c r="KC143" s="1"/>
      <c r="KD143" s="1"/>
      <c r="KE143" s="1"/>
      <c r="KF143" s="1"/>
      <c r="KG143" s="1"/>
      <c r="KH143" s="1"/>
      <c r="KI143" s="1"/>
      <c r="KJ143" s="1"/>
      <c r="KK143" s="1"/>
      <c r="KL143" s="1"/>
      <c r="KM143" s="1"/>
      <c r="KN143" s="1"/>
      <c r="KO143" s="1"/>
      <c r="KP143" s="1"/>
      <c r="KQ143" s="1"/>
      <c r="KR143" s="1"/>
      <c r="KS143" s="1"/>
      <c r="KT143" s="1"/>
      <c r="KU143" s="1"/>
      <c r="KV143" s="1"/>
      <c r="KW143" s="1"/>
      <c r="KX143" s="1"/>
      <c r="KY143" s="1"/>
      <c r="KZ143" s="1"/>
      <c r="LA143" s="1"/>
      <c r="LB143" s="1"/>
      <c r="LC143" s="1"/>
      <c r="LD143" s="1"/>
      <c r="LE143" s="1"/>
      <c r="LF143" s="1"/>
      <c r="LG143" s="1"/>
      <c r="LH143" s="1"/>
      <c r="LI143" s="1"/>
      <c r="LJ143" s="1"/>
      <c r="LK143" s="1"/>
      <c r="LL143" s="1"/>
      <c r="LM143" s="1"/>
      <c r="LN143" s="1"/>
      <c r="LO143" s="1"/>
      <c r="LP143" s="1"/>
      <c r="LQ143" s="1"/>
      <c r="LR143" s="1"/>
      <c r="LS143" s="1"/>
      <c r="LT143" s="1"/>
      <c r="LU143" s="1"/>
      <c r="LV143" s="1"/>
      <c r="LW143" s="1"/>
      <c r="LX143" s="1"/>
      <c r="LY143" s="1"/>
      <c r="LZ143" s="1"/>
      <c r="MA143" s="1"/>
      <c r="MB143" s="1"/>
      <c r="MC143" s="1"/>
      <c r="MD143" s="1"/>
      <c r="ME143" s="1"/>
      <c r="MF143" s="1"/>
      <c r="MG143" s="1"/>
      <c r="MH143" s="1"/>
      <c r="MI143" s="1"/>
      <c r="MJ143" s="1"/>
      <c r="MK143" s="1"/>
      <c r="ML143" s="1"/>
      <c r="MM143" s="1"/>
      <c r="MN143" s="1"/>
      <c r="MO143" s="1"/>
      <c r="MP143" s="1"/>
      <c r="MQ143" s="1"/>
      <c r="MR143" s="1"/>
      <c r="MS143" s="1"/>
      <c r="MT143" s="1"/>
      <c r="MU143" s="1"/>
      <c r="MV143" s="1"/>
      <c r="MW143" s="1"/>
      <c r="MX143" s="1"/>
      <c r="MY143" s="1"/>
      <c r="MZ143" s="1"/>
      <c r="NA143" s="1"/>
      <c r="NB143" s="1"/>
      <c r="NC143" s="1"/>
      <c r="ND143" s="1"/>
      <c r="NE143" s="1"/>
      <c r="NF143" s="1"/>
      <c r="NG143" s="1"/>
      <c r="NH143" s="1"/>
      <c r="NI143" s="1"/>
      <c r="NJ143" s="1"/>
      <c r="NK143" s="1"/>
      <c r="NL143" s="1"/>
      <c r="NM143" s="1"/>
      <c r="NN143" s="1"/>
      <c r="NO143" s="1"/>
      <c r="NP143" s="1"/>
      <c r="NQ143" s="1"/>
      <c r="NR143" s="1"/>
      <c r="NS143" s="1"/>
      <c r="NT143" s="1"/>
      <c r="NU143" s="1"/>
      <c r="NV143" s="1"/>
      <c r="NW143" s="1"/>
      <c r="NX143" s="1"/>
      <c r="NY143" s="1"/>
      <c r="NZ143" s="1"/>
      <c r="OA143" s="1"/>
      <c r="OB143" s="1"/>
      <c r="OC143" s="1"/>
      <c r="OD143" s="1"/>
      <c r="OE143" s="1"/>
      <c r="OF143" s="1"/>
      <c r="OG143" s="1"/>
      <c r="OH143" s="1"/>
      <c r="OI143" s="1"/>
      <c r="OJ143" s="1"/>
      <c r="OK143" s="1"/>
      <c r="OL143" s="1"/>
      <c r="OM143" s="1"/>
      <c r="ON143" s="1"/>
      <c r="OO143" s="1"/>
      <c r="OP143" s="1"/>
      <c r="OQ143" s="1"/>
      <c r="OR143" s="1"/>
      <c r="OS143" s="1"/>
      <c r="OT143" s="1"/>
      <c r="OU143" s="1"/>
      <c r="OV143" s="1"/>
      <c r="OW143" s="1"/>
      <c r="OX143" s="1"/>
      <c r="OY143" s="1"/>
      <c r="OZ143" s="1"/>
      <c r="PA143" s="1"/>
      <c r="PB143" s="1"/>
      <c r="PC143" s="1"/>
      <c r="PD143" s="1"/>
      <c r="PE143" s="1"/>
      <c r="PF143" s="1"/>
      <c r="PG143" s="1"/>
      <c r="PH143" s="1"/>
      <c r="PI143" s="1"/>
      <c r="PJ143" s="1"/>
      <c r="PK143" s="1"/>
      <c r="PL143" s="1"/>
      <c r="PM143" s="1"/>
      <c r="PN143" s="1"/>
      <c r="PO143" s="1"/>
      <c r="PP143" s="1"/>
      <c r="PQ143" s="1"/>
      <c r="PR143" s="1"/>
      <c r="PS143" s="1"/>
      <c r="PT143" s="1"/>
      <c r="PU143" s="1"/>
      <c r="PV143" s="1"/>
      <c r="PW143" s="1"/>
    </row>
    <row r="144" spans="1:439" x14ac:dyDescent="0.2">
      <c r="A144" s="1"/>
      <c r="C144" s="37"/>
      <c r="G144" s="61"/>
      <c r="H144" s="61"/>
      <c r="I144" s="61"/>
      <c r="J144" s="1"/>
      <c r="K144" s="71"/>
      <c r="L144" s="2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  <c r="IX144" s="1"/>
      <c r="IY144" s="1"/>
      <c r="IZ144" s="1"/>
      <c r="JA144" s="1"/>
      <c r="JB144" s="1"/>
      <c r="JC144" s="1"/>
      <c r="JD144" s="1"/>
      <c r="JE144" s="1"/>
      <c r="JF144" s="1"/>
      <c r="JG144" s="1"/>
      <c r="JH144" s="1"/>
      <c r="JI144" s="1"/>
      <c r="JJ144" s="1"/>
      <c r="JK144" s="1"/>
      <c r="JL144" s="1"/>
      <c r="JM144" s="1"/>
      <c r="JN144" s="1"/>
      <c r="JO144" s="1"/>
      <c r="JP144" s="1"/>
      <c r="JQ144" s="1"/>
      <c r="JR144" s="1"/>
      <c r="JS144" s="1"/>
      <c r="JT144" s="1"/>
      <c r="JU144" s="1"/>
      <c r="JV144" s="1"/>
      <c r="JW144" s="1"/>
      <c r="JX144" s="1"/>
      <c r="JY144" s="1"/>
      <c r="JZ144" s="1"/>
      <c r="KA144" s="1"/>
      <c r="KB144" s="1"/>
      <c r="KC144" s="1"/>
      <c r="KD144" s="1"/>
      <c r="KE144" s="1"/>
      <c r="KF144" s="1"/>
      <c r="KG144" s="1"/>
      <c r="KH144" s="1"/>
      <c r="KI144" s="1"/>
      <c r="KJ144" s="1"/>
      <c r="KK144" s="1"/>
      <c r="KL144" s="1"/>
      <c r="KM144" s="1"/>
      <c r="KN144" s="1"/>
      <c r="KO144" s="1"/>
      <c r="KP144" s="1"/>
      <c r="KQ144" s="1"/>
      <c r="KR144" s="1"/>
      <c r="KS144" s="1"/>
      <c r="KT144" s="1"/>
      <c r="KU144" s="1"/>
      <c r="KV144" s="1"/>
      <c r="KW144" s="1"/>
      <c r="KX144" s="1"/>
      <c r="KY144" s="1"/>
      <c r="KZ144" s="1"/>
      <c r="LA144" s="1"/>
      <c r="LB144" s="1"/>
      <c r="LC144" s="1"/>
      <c r="LD144" s="1"/>
      <c r="LE144" s="1"/>
      <c r="LF144" s="1"/>
      <c r="LG144" s="1"/>
      <c r="LH144" s="1"/>
      <c r="LI144" s="1"/>
      <c r="LJ144" s="1"/>
      <c r="LK144" s="1"/>
      <c r="LL144" s="1"/>
      <c r="LM144" s="1"/>
      <c r="LN144" s="1"/>
      <c r="LO144" s="1"/>
      <c r="LP144" s="1"/>
      <c r="LQ144" s="1"/>
      <c r="LR144" s="1"/>
      <c r="LS144" s="1"/>
      <c r="LT144" s="1"/>
      <c r="LU144" s="1"/>
      <c r="LV144" s="1"/>
      <c r="LW144" s="1"/>
      <c r="LX144" s="1"/>
      <c r="LY144" s="1"/>
      <c r="LZ144" s="1"/>
      <c r="MA144" s="1"/>
      <c r="MB144" s="1"/>
      <c r="MC144" s="1"/>
      <c r="MD144" s="1"/>
      <c r="ME144" s="1"/>
      <c r="MF144" s="1"/>
      <c r="MG144" s="1"/>
      <c r="MH144" s="1"/>
      <c r="MI144" s="1"/>
      <c r="MJ144" s="1"/>
      <c r="MK144" s="1"/>
      <c r="ML144" s="1"/>
      <c r="MM144" s="1"/>
      <c r="MN144" s="1"/>
      <c r="MO144" s="1"/>
      <c r="MP144" s="1"/>
      <c r="MQ144" s="1"/>
      <c r="MR144" s="1"/>
      <c r="MS144" s="1"/>
      <c r="MT144" s="1"/>
      <c r="MU144" s="1"/>
      <c r="MV144" s="1"/>
      <c r="MW144" s="1"/>
      <c r="MX144" s="1"/>
      <c r="MY144" s="1"/>
      <c r="MZ144" s="1"/>
      <c r="NA144" s="1"/>
      <c r="NB144" s="1"/>
      <c r="NC144" s="1"/>
      <c r="ND144" s="1"/>
      <c r="NE144" s="1"/>
      <c r="NF144" s="1"/>
      <c r="NG144" s="1"/>
      <c r="NH144" s="1"/>
      <c r="NI144" s="1"/>
      <c r="NJ144" s="1"/>
      <c r="NK144" s="1"/>
      <c r="NL144" s="1"/>
      <c r="NM144" s="1"/>
      <c r="NN144" s="1"/>
      <c r="NO144" s="1"/>
      <c r="NP144" s="1"/>
      <c r="NQ144" s="1"/>
      <c r="NR144" s="1"/>
      <c r="NS144" s="1"/>
      <c r="NT144" s="1"/>
      <c r="NU144" s="1"/>
      <c r="NV144" s="1"/>
      <c r="NW144" s="1"/>
      <c r="NX144" s="1"/>
      <c r="NY144" s="1"/>
      <c r="NZ144" s="1"/>
      <c r="OA144" s="1"/>
      <c r="OB144" s="1"/>
      <c r="OC144" s="1"/>
      <c r="OD144" s="1"/>
      <c r="OE144" s="1"/>
      <c r="OF144" s="1"/>
      <c r="OG144" s="1"/>
      <c r="OH144" s="1"/>
      <c r="OI144" s="1"/>
      <c r="OJ144" s="1"/>
      <c r="OK144" s="1"/>
      <c r="OL144" s="1"/>
      <c r="OM144" s="1"/>
      <c r="ON144" s="1"/>
      <c r="OO144" s="1"/>
      <c r="OP144" s="1"/>
      <c r="OQ144" s="1"/>
      <c r="OR144" s="1"/>
      <c r="OS144" s="1"/>
      <c r="OT144" s="1"/>
      <c r="OU144" s="1"/>
      <c r="OV144" s="1"/>
      <c r="OW144" s="1"/>
      <c r="OX144" s="1"/>
      <c r="OY144" s="1"/>
      <c r="OZ144" s="1"/>
      <c r="PA144" s="1"/>
      <c r="PB144" s="1"/>
      <c r="PC144" s="1"/>
      <c r="PD144" s="1"/>
      <c r="PE144" s="1"/>
      <c r="PF144" s="1"/>
      <c r="PG144" s="1"/>
      <c r="PH144" s="1"/>
      <c r="PI144" s="1"/>
      <c r="PJ144" s="1"/>
      <c r="PK144" s="1"/>
      <c r="PL144" s="1"/>
      <c r="PM144" s="1"/>
      <c r="PN144" s="1"/>
      <c r="PO144" s="1"/>
      <c r="PP144" s="1"/>
      <c r="PQ144" s="1"/>
      <c r="PR144" s="1"/>
      <c r="PS144" s="1"/>
      <c r="PT144" s="1"/>
      <c r="PU144" s="1"/>
      <c r="PV144" s="1"/>
      <c r="PW144" s="1"/>
    </row>
  </sheetData>
  <sortState ref="B14:G115">
    <sortCondition ref="C14:C115"/>
  </sortState>
  <mergeCells count="28">
    <mergeCell ref="G126:J126"/>
    <mergeCell ref="G125:J125"/>
    <mergeCell ref="F115:H115"/>
    <mergeCell ref="F117:G117"/>
    <mergeCell ref="A4:A5"/>
    <mergeCell ref="I118:J118"/>
    <mergeCell ref="B4:B5"/>
    <mergeCell ref="C117:E117"/>
    <mergeCell ref="B118:B119"/>
    <mergeCell ref="C120:E120"/>
    <mergeCell ref="C116:E116"/>
    <mergeCell ref="D121:E121"/>
    <mergeCell ref="C122:E122"/>
    <mergeCell ref="C119:E119"/>
    <mergeCell ref="C118:E118"/>
    <mergeCell ref="E1:L1"/>
    <mergeCell ref="C4:C5"/>
    <mergeCell ref="D4:D5"/>
    <mergeCell ref="E4:E5"/>
    <mergeCell ref="A2:D3"/>
    <mergeCell ref="L4:L5"/>
    <mergeCell ref="K4:K5"/>
    <mergeCell ref="J4:J5"/>
    <mergeCell ref="F4:H4"/>
    <mergeCell ref="I4:I5"/>
    <mergeCell ref="I3:K3"/>
    <mergeCell ref="I2:L2"/>
    <mergeCell ref="A1:D1"/>
  </mergeCells>
  <printOptions horizontalCentered="1"/>
  <pageMargins left="0.19685039370078741" right="0.19685039370078741" top="0.59055118110236227" bottom="0.6692913385826772" header="0" footer="0"/>
  <pageSetup paperSize="9" scale="75" fitToHeight="13" orientation="landscape" cellComments="atEnd" horizontalDpi="300" verticalDpi="300" r:id="rId1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6:U100"/>
  <sheetViews>
    <sheetView workbookViewId="0">
      <selection activeCell="B1" sqref="B1"/>
    </sheetView>
  </sheetViews>
  <sheetFormatPr defaultRowHeight="15" x14ac:dyDescent="0.25"/>
  <sheetData>
    <row r="46" spans="1:19" x14ac:dyDescent="0.25">
      <c r="A46">
        <v>96173</v>
      </c>
      <c r="B46" t="s">
        <v>134</v>
      </c>
      <c r="C46" t="s">
        <v>135</v>
      </c>
      <c r="D46" t="s">
        <v>136</v>
      </c>
      <c r="E46" t="s">
        <v>137</v>
      </c>
      <c r="F46">
        <v>31</v>
      </c>
      <c r="G46" t="s">
        <v>138</v>
      </c>
      <c r="H46" t="s">
        <v>139</v>
      </c>
      <c r="I46" t="s">
        <v>137</v>
      </c>
      <c r="J46" t="s">
        <v>140</v>
      </c>
      <c r="K46">
        <v>10</v>
      </c>
      <c r="L46" t="s">
        <v>141</v>
      </c>
      <c r="M46" t="s">
        <v>142</v>
      </c>
      <c r="N46" t="s">
        <v>143</v>
      </c>
      <c r="O46" t="s">
        <v>137</v>
      </c>
      <c r="P46" t="s">
        <v>144</v>
      </c>
      <c r="Q46" t="s">
        <v>145</v>
      </c>
    </row>
    <row r="47" spans="1:19" x14ac:dyDescent="0.25">
      <c r="A47" t="s">
        <v>146</v>
      </c>
      <c r="B47" t="s">
        <v>147</v>
      </c>
    </row>
    <row r="48" spans="1:19" x14ac:dyDescent="0.25">
      <c r="A48" t="s">
        <v>148</v>
      </c>
      <c r="B48">
        <v>5953</v>
      </c>
      <c r="C48" t="s">
        <v>149</v>
      </c>
      <c r="D48" t="s">
        <v>137</v>
      </c>
      <c r="E48" t="s">
        <v>150</v>
      </c>
      <c r="F48" t="s">
        <v>151</v>
      </c>
      <c r="G48" t="s">
        <v>152</v>
      </c>
      <c r="H48">
        <v>189</v>
      </c>
      <c r="I48" t="s">
        <v>153</v>
      </c>
      <c r="J48" t="s">
        <v>154</v>
      </c>
      <c r="K48" t="s">
        <v>155</v>
      </c>
      <c r="L48" t="s">
        <v>137</v>
      </c>
      <c r="M48" t="s">
        <v>156</v>
      </c>
      <c r="N48">
        <v>102</v>
      </c>
      <c r="O48" t="s">
        <v>157</v>
      </c>
      <c r="P48" t="s">
        <v>158</v>
      </c>
      <c r="Q48">
        <v>6.3E-2</v>
      </c>
      <c r="R48">
        <v>35.409999999999997</v>
      </c>
      <c r="S48">
        <v>2.23</v>
      </c>
    </row>
    <row r="49" spans="1:20" x14ac:dyDescent="0.25">
      <c r="A49" t="s">
        <v>159</v>
      </c>
      <c r="B49" t="s">
        <v>160</v>
      </c>
      <c r="C49" t="s">
        <v>161</v>
      </c>
      <c r="D49" t="s">
        <v>162</v>
      </c>
      <c r="E49">
        <v>63</v>
      </c>
      <c r="F49" t="s">
        <v>163</v>
      </c>
      <c r="G49" t="s">
        <v>164</v>
      </c>
      <c r="H49" t="s">
        <v>157</v>
      </c>
      <c r="I49" t="s">
        <v>165</v>
      </c>
      <c r="J49" t="s">
        <v>166</v>
      </c>
    </row>
    <row r="50" spans="1:20" x14ac:dyDescent="0.25">
      <c r="A50" t="s">
        <v>148</v>
      </c>
      <c r="B50">
        <v>5954</v>
      </c>
      <c r="C50" t="s">
        <v>149</v>
      </c>
      <c r="D50" t="s">
        <v>137</v>
      </c>
      <c r="E50" t="s">
        <v>150</v>
      </c>
      <c r="F50" t="s">
        <v>151</v>
      </c>
      <c r="G50" t="s">
        <v>152</v>
      </c>
      <c r="H50">
        <v>189</v>
      </c>
      <c r="I50" t="s">
        <v>153</v>
      </c>
      <c r="J50" t="s">
        <v>154</v>
      </c>
      <c r="K50" t="s">
        <v>155</v>
      </c>
      <c r="L50" t="s">
        <v>137</v>
      </c>
      <c r="M50" t="s">
        <v>156</v>
      </c>
      <c r="N50">
        <v>102</v>
      </c>
      <c r="O50" t="s">
        <v>167</v>
      </c>
      <c r="P50" t="s">
        <v>158</v>
      </c>
      <c r="Q50">
        <v>0.25600000000000001</v>
      </c>
      <c r="R50">
        <v>2.94</v>
      </c>
      <c r="S50">
        <v>0.75</v>
      </c>
    </row>
    <row r="51" spans="1:20" x14ac:dyDescent="0.25">
      <c r="A51" t="s">
        <v>159</v>
      </c>
      <c r="B51" t="s">
        <v>160</v>
      </c>
      <c r="C51" t="s">
        <v>161</v>
      </c>
      <c r="D51" t="s">
        <v>162</v>
      </c>
      <c r="E51">
        <v>63</v>
      </c>
      <c r="F51" t="s">
        <v>163</v>
      </c>
      <c r="G51" t="s">
        <v>164</v>
      </c>
      <c r="H51" t="s">
        <v>167</v>
      </c>
      <c r="I51" t="s">
        <v>165</v>
      </c>
      <c r="J51" t="s">
        <v>166</v>
      </c>
    </row>
    <row r="52" spans="1:20" x14ac:dyDescent="0.25">
      <c r="A52" t="s">
        <v>168</v>
      </c>
      <c r="B52">
        <v>9875</v>
      </c>
      <c r="C52" t="s">
        <v>169</v>
      </c>
      <c r="D52" t="s">
        <v>170</v>
      </c>
      <c r="E52" t="s">
        <v>171</v>
      </c>
      <c r="F52" t="s">
        <v>172</v>
      </c>
      <c r="G52">
        <v>50</v>
      </c>
      <c r="H52" t="s">
        <v>173</v>
      </c>
      <c r="I52" t="s">
        <v>174</v>
      </c>
      <c r="J52" t="s">
        <v>175</v>
      </c>
      <c r="K52" t="s">
        <v>176</v>
      </c>
      <c r="L52" t="s">
        <v>177</v>
      </c>
      <c r="M52" t="s">
        <v>145</v>
      </c>
      <c r="N52" t="s">
        <v>178</v>
      </c>
      <c r="O52">
        <v>8.3000000000000001E-3</v>
      </c>
      <c r="P52">
        <v>8.09</v>
      </c>
      <c r="Q52">
        <v>0.06</v>
      </c>
    </row>
    <row r="53" spans="1:20" x14ac:dyDescent="0.25">
      <c r="A53" t="s">
        <v>168</v>
      </c>
      <c r="B53">
        <v>14583</v>
      </c>
      <c r="C53" t="s">
        <v>179</v>
      </c>
      <c r="D53" t="s">
        <v>180</v>
      </c>
      <c r="E53" t="s">
        <v>181</v>
      </c>
      <c r="F53">
        <v>0</v>
      </c>
      <c r="G53" t="s">
        <v>182</v>
      </c>
      <c r="H53" t="s">
        <v>183</v>
      </c>
      <c r="I53" t="s">
        <v>184</v>
      </c>
      <c r="J53" t="s">
        <v>185</v>
      </c>
      <c r="K53" t="s">
        <v>186</v>
      </c>
      <c r="L53" t="s">
        <v>178</v>
      </c>
      <c r="M53">
        <v>0.158</v>
      </c>
      <c r="N53">
        <v>13.43</v>
      </c>
      <c r="O53">
        <v>2.12</v>
      </c>
    </row>
    <row r="54" spans="1:20" x14ac:dyDescent="0.25">
      <c r="A54" t="s">
        <v>168</v>
      </c>
      <c r="B54">
        <v>41998</v>
      </c>
      <c r="C54" t="s">
        <v>169</v>
      </c>
      <c r="D54" t="s">
        <v>137</v>
      </c>
      <c r="E54" t="s">
        <v>187</v>
      </c>
      <c r="F54" t="s">
        <v>188</v>
      </c>
      <c r="G54" t="s">
        <v>189</v>
      </c>
      <c r="H54" t="s">
        <v>190</v>
      </c>
      <c r="I54" t="s">
        <v>191</v>
      </c>
      <c r="J54">
        <v>40</v>
      </c>
      <c r="K54" t="s">
        <v>192</v>
      </c>
      <c r="L54" t="s">
        <v>191</v>
      </c>
      <c r="M54">
        <v>80</v>
      </c>
      <c r="N54" t="s">
        <v>193</v>
      </c>
      <c r="O54" t="s">
        <v>145</v>
      </c>
      <c r="P54" t="s">
        <v>178</v>
      </c>
      <c r="Q54">
        <v>2.0000000000000001E-4</v>
      </c>
      <c r="R54" s="117">
        <v>1144.77</v>
      </c>
      <c r="S54">
        <v>0.22</v>
      </c>
    </row>
    <row r="55" spans="1:20" x14ac:dyDescent="0.25">
      <c r="A55" t="s">
        <v>194</v>
      </c>
      <c r="B55" t="s">
        <v>182</v>
      </c>
      <c r="C55" t="s">
        <v>195</v>
      </c>
      <c r="D55" t="s">
        <v>174</v>
      </c>
      <c r="E55" t="s">
        <v>196</v>
      </c>
      <c r="F55" t="s">
        <v>197</v>
      </c>
      <c r="G55" t="s">
        <v>198</v>
      </c>
      <c r="H55" t="s">
        <v>199</v>
      </c>
      <c r="I55" t="s">
        <v>200</v>
      </c>
      <c r="J55" t="s">
        <v>201</v>
      </c>
      <c r="K55" t="s">
        <v>202</v>
      </c>
    </row>
    <row r="56" spans="1:20" x14ac:dyDescent="0.25">
      <c r="A56" t="s">
        <v>203</v>
      </c>
    </row>
    <row r="57" spans="1:20" x14ac:dyDescent="0.25">
      <c r="A57" t="s">
        <v>148</v>
      </c>
      <c r="B57">
        <v>88316</v>
      </c>
      <c r="C57" t="s">
        <v>204</v>
      </c>
      <c r="D57" t="s">
        <v>142</v>
      </c>
      <c r="E57" t="s">
        <v>205</v>
      </c>
      <c r="F57" t="s">
        <v>206</v>
      </c>
      <c r="G57" t="s">
        <v>207</v>
      </c>
      <c r="H57" t="s">
        <v>178</v>
      </c>
      <c r="I57">
        <v>0.95799999999999996</v>
      </c>
      <c r="J57">
        <v>16.649999999999999</v>
      </c>
      <c r="K57">
        <v>15.95</v>
      </c>
    </row>
    <row r="58" spans="1:20" x14ac:dyDescent="0.25">
      <c r="A58" t="s">
        <v>208</v>
      </c>
      <c r="B58" t="s">
        <v>164</v>
      </c>
      <c r="C58" t="s">
        <v>209</v>
      </c>
      <c r="D58" t="s">
        <v>210</v>
      </c>
      <c r="E58" t="s">
        <v>137</v>
      </c>
      <c r="F58" t="s">
        <v>211</v>
      </c>
      <c r="G58" t="s">
        <v>137</v>
      </c>
      <c r="H58" t="s">
        <v>212</v>
      </c>
      <c r="I58" t="s">
        <v>182</v>
      </c>
      <c r="J58" t="s">
        <v>213</v>
      </c>
      <c r="K58" t="s">
        <v>214</v>
      </c>
      <c r="L58" t="s">
        <v>215</v>
      </c>
      <c r="M58" t="s">
        <v>216</v>
      </c>
      <c r="N58">
        <v>1</v>
      </c>
      <c r="O58">
        <v>1119</v>
      </c>
      <c r="P58" t="s">
        <v>217</v>
      </c>
      <c r="Q58">
        <v>3307</v>
      </c>
    </row>
    <row r="59" spans="1:20" x14ac:dyDescent="0.25">
      <c r="A59" t="s">
        <v>218</v>
      </c>
      <c r="B59" t="s">
        <v>164</v>
      </c>
      <c r="C59" t="s">
        <v>212</v>
      </c>
      <c r="D59" t="s">
        <v>137</v>
      </c>
      <c r="E59" t="s">
        <v>219</v>
      </c>
      <c r="F59" t="s">
        <v>220</v>
      </c>
      <c r="G59" t="s">
        <v>221</v>
      </c>
      <c r="H59" t="s">
        <v>137</v>
      </c>
      <c r="I59" t="s">
        <v>222</v>
      </c>
      <c r="J59" s="118">
        <v>0.15864583333333335</v>
      </c>
    </row>
    <row r="60" spans="1:20" x14ac:dyDescent="0.25">
      <c r="A60" t="s">
        <v>205</v>
      </c>
      <c r="B60" t="s">
        <v>223</v>
      </c>
      <c r="C60" t="s">
        <v>224</v>
      </c>
      <c r="D60" t="s">
        <v>225</v>
      </c>
      <c r="E60" t="s">
        <v>214</v>
      </c>
      <c r="F60" t="s">
        <v>226</v>
      </c>
      <c r="G60" t="s">
        <v>227</v>
      </c>
      <c r="H60" t="s">
        <v>228</v>
      </c>
    </row>
    <row r="61" spans="1:20" x14ac:dyDescent="0.25">
      <c r="A61" t="s">
        <v>229</v>
      </c>
      <c r="B61" t="s">
        <v>210</v>
      </c>
      <c r="C61" t="s">
        <v>221</v>
      </c>
      <c r="D61" t="s">
        <v>230</v>
      </c>
      <c r="E61" t="s">
        <v>231</v>
      </c>
      <c r="F61" s="119">
        <v>43628</v>
      </c>
    </row>
    <row r="62" spans="1:20" x14ac:dyDescent="0.25">
      <c r="A62" t="s">
        <v>232</v>
      </c>
      <c r="B62" t="s">
        <v>233</v>
      </c>
      <c r="C62" t="s">
        <v>234</v>
      </c>
      <c r="D62" t="s">
        <v>235</v>
      </c>
    </row>
    <row r="63" spans="1:20" x14ac:dyDescent="0.25">
      <c r="A63" t="s">
        <v>148</v>
      </c>
      <c r="B63">
        <v>90643</v>
      </c>
      <c r="C63" t="s">
        <v>236</v>
      </c>
      <c r="D63" t="s">
        <v>237</v>
      </c>
      <c r="E63" t="s">
        <v>174</v>
      </c>
      <c r="F63" t="s">
        <v>238</v>
      </c>
      <c r="G63" t="s">
        <v>137</v>
      </c>
      <c r="H63" t="s">
        <v>239</v>
      </c>
      <c r="I63" t="s">
        <v>137</v>
      </c>
      <c r="J63" t="s">
        <v>240</v>
      </c>
      <c r="K63" t="s">
        <v>152</v>
      </c>
      <c r="L63" t="s">
        <v>241</v>
      </c>
      <c r="M63" t="s">
        <v>137</v>
      </c>
      <c r="N63">
        <v>100</v>
      </c>
      <c r="O63" t="s">
        <v>242</v>
      </c>
      <c r="P63" t="s">
        <v>157</v>
      </c>
      <c r="Q63" t="s">
        <v>178</v>
      </c>
      <c r="R63">
        <v>2.3E-2</v>
      </c>
      <c r="S63">
        <v>13.25</v>
      </c>
      <c r="T63">
        <v>0.3</v>
      </c>
    </row>
    <row r="64" spans="1:20" x14ac:dyDescent="0.25">
      <c r="A64" t="s">
        <v>243</v>
      </c>
      <c r="B64" t="s">
        <v>154</v>
      </c>
      <c r="C64" t="s">
        <v>241</v>
      </c>
      <c r="D64" t="s">
        <v>137</v>
      </c>
      <c r="E64">
        <v>70</v>
      </c>
      <c r="F64" t="s">
        <v>244</v>
      </c>
      <c r="G64" t="s">
        <v>164</v>
      </c>
      <c r="H64" t="s">
        <v>157</v>
      </c>
      <c r="I64" t="s">
        <v>165</v>
      </c>
      <c r="J64" t="s">
        <v>166</v>
      </c>
    </row>
    <row r="65" spans="1:21" x14ac:dyDescent="0.25">
      <c r="A65" t="s">
        <v>148</v>
      </c>
      <c r="B65">
        <v>90644</v>
      </c>
      <c r="C65" t="s">
        <v>236</v>
      </c>
      <c r="D65" t="s">
        <v>237</v>
      </c>
      <c r="E65" t="s">
        <v>174</v>
      </c>
      <c r="F65" t="s">
        <v>238</v>
      </c>
      <c r="G65" t="s">
        <v>137</v>
      </c>
      <c r="H65" t="s">
        <v>239</v>
      </c>
      <c r="I65" t="s">
        <v>137</v>
      </c>
      <c r="J65" t="s">
        <v>240</v>
      </c>
      <c r="K65" t="s">
        <v>152</v>
      </c>
      <c r="L65" t="s">
        <v>241</v>
      </c>
      <c r="M65" t="s">
        <v>137</v>
      </c>
      <c r="N65">
        <v>100</v>
      </c>
      <c r="O65" t="s">
        <v>242</v>
      </c>
      <c r="P65" t="s">
        <v>167</v>
      </c>
      <c r="Q65" t="s">
        <v>178</v>
      </c>
      <c r="R65">
        <v>0.29599999999999999</v>
      </c>
      <c r="S65">
        <v>4.2699999999999996</v>
      </c>
      <c r="T65">
        <v>1.26</v>
      </c>
    </row>
    <row r="66" spans="1:21" x14ac:dyDescent="0.25">
      <c r="A66" t="s">
        <v>243</v>
      </c>
      <c r="B66" t="s">
        <v>154</v>
      </c>
      <c r="C66" t="s">
        <v>241</v>
      </c>
      <c r="D66" t="s">
        <v>137</v>
      </c>
      <c r="E66">
        <v>70</v>
      </c>
      <c r="F66" t="s">
        <v>244</v>
      </c>
      <c r="G66" t="s">
        <v>164</v>
      </c>
      <c r="H66" t="s">
        <v>167</v>
      </c>
      <c r="I66" t="s">
        <v>165</v>
      </c>
      <c r="J66" t="s">
        <v>166</v>
      </c>
    </row>
    <row r="67" spans="1:21" x14ac:dyDescent="0.25">
      <c r="A67" t="s">
        <v>148</v>
      </c>
      <c r="B67">
        <v>90650</v>
      </c>
      <c r="C67" t="s">
        <v>236</v>
      </c>
      <c r="D67" t="s">
        <v>245</v>
      </c>
      <c r="E67" t="s">
        <v>246</v>
      </c>
      <c r="F67" t="s">
        <v>142</v>
      </c>
      <c r="G67" t="s">
        <v>160</v>
      </c>
      <c r="H67" t="s">
        <v>247</v>
      </c>
      <c r="I67" t="s">
        <v>248</v>
      </c>
      <c r="J67" t="s">
        <v>162</v>
      </c>
      <c r="K67">
        <v>15</v>
      </c>
      <c r="L67" t="s">
        <v>249</v>
      </c>
      <c r="M67" t="s">
        <v>157</v>
      </c>
      <c r="N67" t="s">
        <v>178</v>
      </c>
      <c r="O67">
        <v>0.1</v>
      </c>
      <c r="P67">
        <v>7.72</v>
      </c>
      <c r="Q67">
        <v>0.77</v>
      </c>
    </row>
    <row r="68" spans="1:21" x14ac:dyDescent="0.25">
      <c r="A68" t="s">
        <v>250</v>
      </c>
      <c r="B68" t="s">
        <v>136</v>
      </c>
      <c r="C68" t="s">
        <v>251</v>
      </c>
      <c r="D68" t="s">
        <v>252</v>
      </c>
      <c r="E68">
        <v>173</v>
      </c>
      <c r="F68" t="s">
        <v>173</v>
      </c>
      <c r="G68" t="s">
        <v>253</v>
      </c>
      <c r="H68" t="s">
        <v>254</v>
      </c>
      <c r="I68">
        <v>30</v>
      </c>
      <c r="J68" t="s">
        <v>255</v>
      </c>
      <c r="K68" t="s">
        <v>256</v>
      </c>
      <c r="L68">
        <v>90</v>
      </c>
      <c r="M68" t="s">
        <v>257</v>
      </c>
      <c r="N68" t="s">
        <v>180</v>
      </c>
      <c r="O68">
        <v>45</v>
      </c>
      <c r="P68" t="s">
        <v>255</v>
      </c>
      <c r="Q68" t="s">
        <v>256</v>
      </c>
      <c r="R68">
        <v>55</v>
      </c>
      <c r="S68" t="s">
        <v>257</v>
      </c>
      <c r="T68" t="s">
        <v>164</v>
      </c>
      <c r="U68" t="s">
        <v>148</v>
      </c>
    </row>
    <row r="69" spans="1:21" x14ac:dyDescent="0.25">
      <c r="A69" t="s">
        <v>249</v>
      </c>
      <c r="B69" t="s">
        <v>165</v>
      </c>
      <c r="C69" t="s">
        <v>166</v>
      </c>
    </row>
    <row r="70" spans="1:21" x14ac:dyDescent="0.25">
      <c r="A70" t="s">
        <v>148</v>
      </c>
      <c r="B70">
        <v>90651</v>
      </c>
      <c r="C70" t="s">
        <v>236</v>
      </c>
      <c r="D70" t="s">
        <v>245</v>
      </c>
      <c r="E70" t="s">
        <v>246</v>
      </c>
      <c r="F70" t="s">
        <v>142</v>
      </c>
      <c r="G70" t="s">
        <v>160</v>
      </c>
      <c r="H70" t="s">
        <v>247</v>
      </c>
      <c r="I70" t="s">
        <v>248</v>
      </c>
      <c r="J70" t="s">
        <v>162</v>
      </c>
      <c r="K70">
        <v>15</v>
      </c>
      <c r="L70" t="s">
        <v>249</v>
      </c>
      <c r="M70" t="s">
        <v>167</v>
      </c>
      <c r="N70" t="s">
        <v>178</v>
      </c>
      <c r="O70">
        <v>0.219</v>
      </c>
      <c r="P70">
        <v>0.51</v>
      </c>
      <c r="Q70">
        <v>0.11</v>
      </c>
    </row>
    <row r="71" spans="1:21" x14ac:dyDescent="0.25">
      <c r="A71" t="s">
        <v>250</v>
      </c>
      <c r="B71" t="s">
        <v>136</v>
      </c>
      <c r="C71" t="s">
        <v>251</v>
      </c>
      <c r="D71" t="s">
        <v>252</v>
      </c>
      <c r="E71">
        <v>173</v>
      </c>
      <c r="F71" t="s">
        <v>173</v>
      </c>
      <c r="G71" t="s">
        <v>253</v>
      </c>
      <c r="H71" t="s">
        <v>254</v>
      </c>
      <c r="I71">
        <v>30</v>
      </c>
      <c r="J71" t="s">
        <v>255</v>
      </c>
      <c r="K71" t="s">
        <v>256</v>
      </c>
      <c r="L71">
        <v>90</v>
      </c>
      <c r="M71" t="s">
        <v>257</v>
      </c>
      <c r="N71" t="s">
        <v>180</v>
      </c>
      <c r="O71">
        <v>45</v>
      </c>
      <c r="P71" t="s">
        <v>255</v>
      </c>
      <c r="Q71" t="s">
        <v>256</v>
      </c>
      <c r="R71">
        <v>55</v>
      </c>
      <c r="S71" t="s">
        <v>257</v>
      </c>
      <c r="T71" t="s">
        <v>164</v>
      </c>
      <c r="U71" t="s">
        <v>148</v>
      </c>
    </row>
    <row r="72" spans="1:21" x14ac:dyDescent="0.25">
      <c r="A72" t="s">
        <v>258</v>
      </c>
      <c r="B72" t="s">
        <v>165</v>
      </c>
      <c r="C72" t="s">
        <v>166</v>
      </c>
    </row>
    <row r="73" spans="1:21" x14ac:dyDescent="0.25">
      <c r="A73" t="s">
        <v>148</v>
      </c>
      <c r="B73">
        <v>95563</v>
      </c>
      <c r="C73" t="s">
        <v>259</v>
      </c>
      <c r="D73" t="s">
        <v>260</v>
      </c>
      <c r="E73" s="120">
        <v>7.1354166666666669E-4</v>
      </c>
      <c r="F73" t="s">
        <v>261</v>
      </c>
      <c r="G73" t="s">
        <v>182</v>
      </c>
      <c r="H73" t="s">
        <v>262</v>
      </c>
      <c r="I73" t="s">
        <v>263</v>
      </c>
      <c r="J73" t="s">
        <v>264</v>
      </c>
      <c r="K73">
        <v>20</v>
      </c>
      <c r="L73" t="s">
        <v>265</v>
      </c>
      <c r="M73" t="s">
        <v>266</v>
      </c>
      <c r="N73" t="s">
        <v>267</v>
      </c>
      <c r="O73" t="s">
        <v>186</v>
      </c>
      <c r="P73" t="s">
        <v>178</v>
      </c>
      <c r="Q73">
        <v>0.14299999999999999</v>
      </c>
      <c r="R73">
        <v>562.70000000000005</v>
      </c>
      <c r="S73">
        <v>80.459999999999994</v>
      </c>
    </row>
    <row r="74" spans="1:21" x14ac:dyDescent="0.25">
      <c r="A74" t="s">
        <v>268</v>
      </c>
      <c r="B74" t="s">
        <v>142</v>
      </c>
      <c r="C74" t="s">
        <v>269</v>
      </c>
      <c r="D74" t="s">
        <v>270</v>
      </c>
      <c r="E74" t="s">
        <v>271</v>
      </c>
      <c r="F74" t="s">
        <v>137</v>
      </c>
      <c r="G74" t="s">
        <v>272</v>
      </c>
      <c r="H74" t="s">
        <v>273</v>
      </c>
      <c r="I74" t="s">
        <v>274</v>
      </c>
    </row>
    <row r="75" spans="1:21" x14ac:dyDescent="0.25">
      <c r="A75" t="s">
        <v>148</v>
      </c>
      <c r="B75">
        <v>95580</v>
      </c>
      <c r="C75" t="s">
        <v>275</v>
      </c>
      <c r="D75" t="s">
        <v>137</v>
      </c>
      <c r="E75" t="s">
        <v>276</v>
      </c>
      <c r="F75" t="s">
        <v>277</v>
      </c>
      <c r="G75" t="s">
        <v>137</v>
      </c>
      <c r="H75" t="s">
        <v>278</v>
      </c>
      <c r="I75" t="s">
        <v>137</v>
      </c>
      <c r="J75" t="s">
        <v>279</v>
      </c>
      <c r="K75" t="s">
        <v>280</v>
      </c>
      <c r="L75" t="s">
        <v>136</v>
      </c>
      <c r="M75" t="s">
        <v>254</v>
      </c>
      <c r="N75" t="s">
        <v>281</v>
      </c>
      <c r="O75" t="s">
        <v>178</v>
      </c>
      <c r="P75">
        <v>14.795999999999999</v>
      </c>
      <c r="Q75">
        <v>6.2</v>
      </c>
      <c r="R75">
        <v>91.73</v>
      </c>
    </row>
    <row r="76" spans="1:21" x14ac:dyDescent="0.25">
      <c r="A76">
        <v>20</v>
      </c>
      <c r="B76" t="s">
        <v>282</v>
      </c>
      <c r="C76" t="s">
        <v>274</v>
      </c>
    </row>
    <row r="77" spans="1:21" x14ac:dyDescent="0.25">
      <c r="A77" t="s">
        <v>148</v>
      </c>
      <c r="B77">
        <v>95584</v>
      </c>
      <c r="C77" t="s">
        <v>275</v>
      </c>
      <c r="D77" t="s">
        <v>137</v>
      </c>
      <c r="E77" t="s">
        <v>276</v>
      </c>
      <c r="F77" t="s">
        <v>283</v>
      </c>
      <c r="G77" t="s">
        <v>137</v>
      </c>
      <c r="H77" t="s">
        <v>278</v>
      </c>
      <c r="I77" t="s">
        <v>137</v>
      </c>
      <c r="J77" t="s">
        <v>279</v>
      </c>
      <c r="K77" t="s">
        <v>280</v>
      </c>
      <c r="L77" t="s">
        <v>136</v>
      </c>
      <c r="M77" t="s">
        <v>254</v>
      </c>
      <c r="N77" t="s">
        <v>281</v>
      </c>
      <c r="O77" t="s">
        <v>178</v>
      </c>
      <c r="P77">
        <v>0.73099999999999998</v>
      </c>
      <c r="Q77">
        <v>10.119999999999999</v>
      </c>
      <c r="R77">
        <v>7.39</v>
      </c>
    </row>
    <row r="78" spans="1:21" x14ac:dyDescent="0.25">
      <c r="A78">
        <v>6.3</v>
      </c>
      <c r="B78" t="s">
        <v>282</v>
      </c>
      <c r="C78" t="s">
        <v>274</v>
      </c>
    </row>
    <row r="79" spans="1:21" x14ac:dyDescent="0.25">
      <c r="A79" t="s">
        <v>148</v>
      </c>
      <c r="B79">
        <v>95967</v>
      </c>
      <c r="C79" t="s">
        <v>284</v>
      </c>
      <c r="D79" t="s">
        <v>285</v>
      </c>
      <c r="E79" t="s">
        <v>286</v>
      </c>
      <c r="F79" t="s">
        <v>174</v>
      </c>
      <c r="G79" t="s">
        <v>287</v>
      </c>
      <c r="H79" t="s">
        <v>137</v>
      </c>
      <c r="I79" t="s">
        <v>288</v>
      </c>
      <c r="J79" t="s">
        <v>137</v>
      </c>
      <c r="K79" t="s">
        <v>289</v>
      </c>
      <c r="L79" t="s">
        <v>207</v>
      </c>
      <c r="M79" t="s">
        <v>178</v>
      </c>
      <c r="N79">
        <v>0.32</v>
      </c>
      <c r="O79">
        <v>133.37</v>
      </c>
      <c r="P79">
        <v>42.67</v>
      </c>
    </row>
    <row r="80" spans="1:21" x14ac:dyDescent="0.25">
      <c r="A80" t="s">
        <v>290</v>
      </c>
      <c r="B80" t="s">
        <v>291</v>
      </c>
      <c r="C80" t="s">
        <v>182</v>
      </c>
      <c r="D80" t="s">
        <v>292</v>
      </c>
      <c r="E80" t="s">
        <v>137</v>
      </c>
      <c r="F80" t="s">
        <v>293</v>
      </c>
    </row>
    <row r="81" spans="1:20" x14ac:dyDescent="0.25">
      <c r="A81" t="s">
        <v>148</v>
      </c>
      <c r="B81">
        <v>96302</v>
      </c>
      <c r="C81" t="s">
        <v>294</v>
      </c>
      <c r="D81" t="s">
        <v>295</v>
      </c>
      <c r="E81" t="s">
        <v>224</v>
      </c>
      <c r="F81" t="s">
        <v>296</v>
      </c>
      <c r="G81" t="s">
        <v>297</v>
      </c>
      <c r="H81" t="s">
        <v>298</v>
      </c>
      <c r="I81">
        <v>2500</v>
      </c>
      <c r="J81" t="s">
        <v>299</v>
      </c>
      <c r="K81" t="s">
        <v>300</v>
      </c>
      <c r="L81">
        <v>110</v>
      </c>
      <c r="M81" t="s">
        <v>207</v>
      </c>
      <c r="N81" t="s">
        <v>167</v>
      </c>
      <c r="O81" t="s">
        <v>178</v>
      </c>
      <c r="P81">
        <v>0.156</v>
      </c>
      <c r="Q81">
        <v>73.05</v>
      </c>
      <c r="R81">
        <v>11.39</v>
      </c>
    </row>
    <row r="82" spans="1:20" x14ac:dyDescent="0.25">
      <c r="A82" t="s">
        <v>301</v>
      </c>
      <c r="B82" t="s">
        <v>160</v>
      </c>
      <c r="C82" t="s">
        <v>302</v>
      </c>
      <c r="D82" t="s">
        <v>164</v>
      </c>
      <c r="E82" t="s">
        <v>167</v>
      </c>
      <c r="F82" t="s">
        <v>165</v>
      </c>
      <c r="G82" t="s">
        <v>147</v>
      </c>
    </row>
    <row r="83" spans="1:20" x14ac:dyDescent="0.25">
      <c r="A83" t="s">
        <v>148</v>
      </c>
      <c r="B83">
        <v>96303</v>
      </c>
      <c r="C83" t="s">
        <v>294</v>
      </c>
      <c r="D83" t="s">
        <v>295</v>
      </c>
      <c r="E83" t="s">
        <v>224</v>
      </c>
      <c r="F83" t="s">
        <v>296</v>
      </c>
      <c r="G83" t="s">
        <v>297</v>
      </c>
      <c r="H83" t="s">
        <v>298</v>
      </c>
      <c r="I83">
        <v>2500</v>
      </c>
      <c r="J83" t="s">
        <v>299</v>
      </c>
      <c r="K83" t="s">
        <v>300</v>
      </c>
      <c r="L83">
        <v>110</v>
      </c>
      <c r="M83" t="s">
        <v>207</v>
      </c>
      <c r="N83" t="s">
        <v>157</v>
      </c>
      <c r="O83" t="s">
        <v>178</v>
      </c>
      <c r="P83">
        <v>0.16400000000000001</v>
      </c>
      <c r="Q83">
        <v>175.01</v>
      </c>
      <c r="R83">
        <v>28.7</v>
      </c>
    </row>
    <row r="84" spans="1:20" x14ac:dyDescent="0.25">
      <c r="A84" t="s">
        <v>301</v>
      </c>
      <c r="B84" t="s">
        <v>160</v>
      </c>
      <c r="C84" t="s">
        <v>303</v>
      </c>
      <c r="D84" t="s">
        <v>157</v>
      </c>
      <c r="E84" t="s">
        <v>165</v>
      </c>
      <c r="F84" t="s">
        <v>147</v>
      </c>
    </row>
    <row r="85" spans="1:20" x14ac:dyDescent="0.25">
      <c r="A85" t="s">
        <v>148</v>
      </c>
      <c r="B85">
        <v>96308</v>
      </c>
      <c r="C85" t="s">
        <v>149</v>
      </c>
      <c r="D85" t="s">
        <v>137</v>
      </c>
      <c r="E85" t="s">
        <v>304</v>
      </c>
      <c r="F85" t="s">
        <v>305</v>
      </c>
      <c r="G85" t="s">
        <v>137</v>
      </c>
      <c r="H85">
        <v>10</v>
      </c>
      <c r="I85" t="s">
        <v>153</v>
      </c>
      <c r="J85" t="s">
        <v>306</v>
      </c>
      <c r="K85">
        <v>100</v>
      </c>
      <c r="L85" t="s">
        <v>307</v>
      </c>
      <c r="M85" t="s">
        <v>308</v>
      </c>
      <c r="N85" t="s">
        <v>137</v>
      </c>
      <c r="O85" t="s">
        <v>156</v>
      </c>
      <c r="P85" t="s">
        <v>167</v>
      </c>
      <c r="Q85" t="s">
        <v>158</v>
      </c>
      <c r="R85">
        <v>0.309</v>
      </c>
      <c r="S85">
        <v>0.14000000000000001</v>
      </c>
      <c r="T85">
        <v>0.04</v>
      </c>
    </row>
    <row r="86" spans="1:20" x14ac:dyDescent="0.25">
      <c r="A86" t="s">
        <v>181</v>
      </c>
      <c r="B86">
        <v>6.9</v>
      </c>
      <c r="C86" t="s">
        <v>182</v>
      </c>
      <c r="D86">
        <v>9.6999999999999993</v>
      </c>
      <c r="E86" t="s">
        <v>244</v>
      </c>
      <c r="F86" t="s">
        <v>300</v>
      </c>
      <c r="G86">
        <v>2</v>
      </c>
      <c r="H86" t="s">
        <v>309</v>
      </c>
      <c r="I86" t="s">
        <v>310</v>
      </c>
      <c r="J86" t="s">
        <v>311</v>
      </c>
      <c r="K86" t="s">
        <v>312</v>
      </c>
      <c r="L86" t="s">
        <v>167</v>
      </c>
      <c r="M86" t="s">
        <v>165</v>
      </c>
      <c r="N86" t="s">
        <v>313</v>
      </c>
    </row>
    <row r="87" spans="1:20" x14ac:dyDescent="0.25">
      <c r="A87">
        <v>2017</v>
      </c>
    </row>
    <row r="88" spans="1:20" x14ac:dyDescent="0.25">
      <c r="A88" t="s">
        <v>208</v>
      </c>
      <c r="B88" t="s">
        <v>164</v>
      </c>
      <c r="C88" t="s">
        <v>209</v>
      </c>
      <c r="D88" t="s">
        <v>210</v>
      </c>
      <c r="E88" t="s">
        <v>137</v>
      </c>
      <c r="F88" t="s">
        <v>211</v>
      </c>
      <c r="G88" t="s">
        <v>137</v>
      </c>
      <c r="H88" t="s">
        <v>212</v>
      </c>
      <c r="I88" t="s">
        <v>182</v>
      </c>
      <c r="J88" t="s">
        <v>213</v>
      </c>
      <c r="K88" t="s">
        <v>214</v>
      </c>
      <c r="L88" t="s">
        <v>215</v>
      </c>
      <c r="M88" t="s">
        <v>216</v>
      </c>
      <c r="N88">
        <v>1</v>
      </c>
      <c r="O88">
        <v>1120</v>
      </c>
      <c r="P88" t="s">
        <v>217</v>
      </c>
      <c r="Q88">
        <v>3307</v>
      </c>
    </row>
    <row r="89" spans="1:20" x14ac:dyDescent="0.25">
      <c r="A89" t="s">
        <v>218</v>
      </c>
      <c r="B89" t="s">
        <v>164</v>
      </c>
      <c r="C89" t="s">
        <v>212</v>
      </c>
      <c r="D89" t="s">
        <v>137</v>
      </c>
      <c r="E89" t="s">
        <v>219</v>
      </c>
      <c r="F89" t="s">
        <v>220</v>
      </c>
      <c r="G89" t="s">
        <v>221</v>
      </c>
      <c r="H89" t="s">
        <v>137</v>
      </c>
      <c r="I89" t="s">
        <v>222</v>
      </c>
      <c r="J89" s="118">
        <v>0.15864583333333335</v>
      </c>
    </row>
    <row r="90" spans="1:20" x14ac:dyDescent="0.25">
      <c r="A90" t="s">
        <v>205</v>
      </c>
      <c r="B90" t="s">
        <v>223</v>
      </c>
      <c r="C90" t="s">
        <v>224</v>
      </c>
      <c r="D90" t="s">
        <v>225</v>
      </c>
      <c r="E90" t="s">
        <v>214</v>
      </c>
      <c r="F90" t="s">
        <v>226</v>
      </c>
      <c r="G90" t="s">
        <v>227</v>
      </c>
      <c r="H90" t="s">
        <v>228</v>
      </c>
    </row>
    <row r="91" spans="1:20" x14ac:dyDescent="0.25">
      <c r="A91" t="s">
        <v>229</v>
      </c>
      <c r="B91" t="s">
        <v>210</v>
      </c>
      <c r="C91" t="s">
        <v>221</v>
      </c>
      <c r="D91" t="s">
        <v>230</v>
      </c>
      <c r="E91" t="s">
        <v>231</v>
      </c>
      <c r="F91" s="119">
        <v>43628</v>
      </c>
    </row>
    <row r="92" spans="1:20" x14ac:dyDescent="0.25">
      <c r="A92" t="s">
        <v>232</v>
      </c>
      <c r="B92" t="s">
        <v>233</v>
      </c>
      <c r="C92" t="s">
        <v>234</v>
      </c>
      <c r="D92" t="s">
        <v>235</v>
      </c>
    </row>
    <row r="93" spans="1:20" x14ac:dyDescent="0.25">
      <c r="A93" t="s">
        <v>148</v>
      </c>
      <c r="B93">
        <v>96309</v>
      </c>
      <c r="C93" t="s">
        <v>149</v>
      </c>
      <c r="D93" t="s">
        <v>137</v>
      </c>
      <c r="E93" t="s">
        <v>304</v>
      </c>
      <c r="F93" t="s">
        <v>305</v>
      </c>
      <c r="G93" t="s">
        <v>137</v>
      </c>
      <c r="H93">
        <v>10</v>
      </c>
      <c r="I93" t="s">
        <v>153</v>
      </c>
      <c r="J93" t="s">
        <v>306</v>
      </c>
      <c r="K93">
        <v>100</v>
      </c>
      <c r="L93" t="s">
        <v>307</v>
      </c>
      <c r="M93" t="s">
        <v>308</v>
      </c>
      <c r="N93" t="s">
        <v>137</v>
      </c>
      <c r="O93" t="s">
        <v>156</v>
      </c>
      <c r="P93" t="s">
        <v>157</v>
      </c>
      <c r="Q93" t="s">
        <v>158</v>
      </c>
      <c r="R93">
        <v>1.0999999999999999E-2</v>
      </c>
      <c r="S93">
        <v>1.1499999999999999</v>
      </c>
      <c r="T93">
        <v>0.01</v>
      </c>
    </row>
    <row r="94" spans="1:20" x14ac:dyDescent="0.25">
      <c r="A94" t="s">
        <v>181</v>
      </c>
      <c r="B94">
        <v>6.9</v>
      </c>
      <c r="C94" t="s">
        <v>182</v>
      </c>
      <c r="D94">
        <v>9.6999999999999993</v>
      </c>
      <c r="E94" t="s">
        <v>314</v>
      </c>
      <c r="F94" t="s">
        <v>300</v>
      </c>
      <c r="G94">
        <v>2</v>
      </c>
      <c r="H94" t="s">
        <v>309</v>
      </c>
      <c r="I94" t="s">
        <v>310</v>
      </c>
      <c r="J94" t="s">
        <v>311</v>
      </c>
      <c r="K94" t="s">
        <v>312</v>
      </c>
      <c r="L94" t="s">
        <v>164</v>
      </c>
      <c r="M94" t="s">
        <v>157</v>
      </c>
      <c r="N94" t="s">
        <v>165</v>
      </c>
      <c r="O94" t="s">
        <v>313</v>
      </c>
    </row>
    <row r="95" spans="1:20" x14ac:dyDescent="0.25">
      <c r="A95">
        <v>2017</v>
      </c>
    </row>
    <row r="96" spans="1:20" x14ac:dyDescent="0.25">
      <c r="A96" t="s">
        <v>315</v>
      </c>
      <c r="B96" t="s">
        <v>233</v>
      </c>
      <c r="C96">
        <v>28.83</v>
      </c>
      <c r="D96">
        <v>10.0768363</v>
      </c>
      <c r="E96" t="s">
        <v>316</v>
      </c>
    </row>
    <row r="97" spans="1:11" x14ac:dyDescent="0.25">
      <c r="A97" t="s">
        <v>7</v>
      </c>
      <c r="B97" t="s">
        <v>233</v>
      </c>
      <c r="C97">
        <v>161.38999999999999</v>
      </c>
      <c r="D97">
        <v>56.390103099999997</v>
      </c>
      <c r="E97" t="s">
        <v>316</v>
      </c>
    </row>
    <row r="98" spans="1:11" x14ac:dyDescent="0.25">
      <c r="A98" t="s">
        <v>317</v>
      </c>
      <c r="B98" t="s">
        <v>137</v>
      </c>
      <c r="C98" t="s">
        <v>318</v>
      </c>
      <c r="D98" t="s">
        <v>233</v>
      </c>
      <c r="E98">
        <v>94.79</v>
      </c>
      <c r="F98">
        <v>33.127731500000003</v>
      </c>
      <c r="G98" t="s">
        <v>316</v>
      </c>
    </row>
    <row r="99" spans="1:11" x14ac:dyDescent="0.25">
      <c r="A99" t="s">
        <v>319</v>
      </c>
      <c r="B99" t="s">
        <v>233</v>
      </c>
      <c r="C99">
        <v>1.1499999999999999</v>
      </c>
      <c r="D99">
        <v>0.4053291</v>
      </c>
      <c r="E99" t="s">
        <v>316</v>
      </c>
    </row>
    <row r="100" spans="1:11" x14ac:dyDescent="0.25">
      <c r="A100" t="s">
        <v>9</v>
      </c>
      <c r="B100" t="s">
        <v>320</v>
      </c>
      <c r="C100" t="s">
        <v>233</v>
      </c>
      <c r="D100">
        <v>286.16000000000003</v>
      </c>
      <c r="E100">
        <v>100</v>
      </c>
      <c r="F100" t="s">
        <v>316</v>
      </c>
      <c r="G100" t="s">
        <v>164</v>
      </c>
      <c r="H100" t="s">
        <v>321</v>
      </c>
      <c r="I100" t="s">
        <v>137</v>
      </c>
      <c r="J100" t="s">
        <v>322</v>
      </c>
      <c r="K100" t="s">
        <v>178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Plan1</vt:lpstr>
      <vt:lpstr>orçamento!Area_de_impressao</vt:lpstr>
      <vt:lpstr>orçamento!Titulos_de_impressao</vt:lpstr>
    </vt:vector>
  </TitlesOfParts>
  <Company>Valle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Claudio Juares Ferronato</cp:lastModifiedBy>
  <cp:lastPrinted>2017-06-26T23:22:16Z</cp:lastPrinted>
  <dcterms:created xsi:type="dcterms:W3CDTF">2011-05-08T22:07:08Z</dcterms:created>
  <dcterms:modified xsi:type="dcterms:W3CDTF">2019-09-18T18:13:50Z</dcterms:modified>
</cp:coreProperties>
</file>