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Desktop-h7jahgi\e\Meus Documentos\Projetos 2019\Mundo Urbano\Iluminação Cidade\"/>
    </mc:Choice>
  </mc:AlternateContent>
  <bookViews>
    <workbookView xWindow="0" yWindow="0" windowWidth="19200" windowHeight="13035"/>
  </bookViews>
  <sheets>
    <sheet name="orçamento" sheetId="1" r:id="rId1"/>
    <sheet name="Plan1" sheetId="2" r:id="rId2"/>
  </sheets>
  <definedNames>
    <definedName name="_xlnm.Print_Area" localSheetId="0">orçamento!$A$1:$L$127</definedName>
    <definedName name="_xlnm.Print_Titles" localSheetId="0">orçamento!$1:$5</definedName>
  </definedNames>
  <calcPr calcId="162913"/>
</workbook>
</file>

<file path=xl/calcChain.xml><?xml version="1.0" encoding="utf-8"?>
<calcChain xmlns="http://schemas.openxmlformats.org/spreadsheetml/2006/main">
  <c r="G33" i="1" l="1"/>
  <c r="G32" i="1"/>
  <c r="E17" i="1" l="1"/>
  <c r="E100" i="1" l="1"/>
  <c r="E107" i="1"/>
  <c r="E101" i="1" l="1"/>
  <c r="E98" i="1"/>
  <c r="E89" i="1"/>
  <c r="E87" i="1"/>
  <c r="E105" i="1"/>
  <c r="F34" i="1"/>
  <c r="E69" i="1"/>
  <c r="G27" i="1" l="1"/>
  <c r="G29" i="1"/>
  <c r="F31" i="1"/>
  <c r="F30" i="1"/>
  <c r="F114" i="1" l="1"/>
  <c r="F41" i="1"/>
  <c r="F40" i="1"/>
  <c r="F39" i="1"/>
  <c r="F38" i="1"/>
  <c r="F37" i="1"/>
  <c r="F36" i="1"/>
  <c r="F35" i="1"/>
  <c r="F7" i="1"/>
  <c r="G104" i="1"/>
  <c r="E108" i="1" l="1"/>
  <c r="E96" i="1"/>
  <c r="E103" i="1"/>
  <c r="E97" i="1"/>
  <c r="E99" i="1"/>
  <c r="G83" i="1"/>
  <c r="G82" i="1"/>
  <c r="H101" i="1" s="1"/>
  <c r="G81" i="1"/>
  <c r="G80" i="1"/>
  <c r="E109" i="1"/>
  <c r="E67" i="1"/>
  <c r="J75" i="1"/>
  <c r="E70" i="1"/>
  <c r="J78" i="1"/>
  <c r="H78" i="1"/>
  <c r="J77" i="1"/>
  <c r="H77" i="1"/>
  <c r="E66" i="1"/>
  <c r="J74" i="1"/>
  <c r="H74" i="1"/>
  <c r="J76" i="1"/>
  <c r="H76" i="1"/>
  <c r="I76" i="1" s="1"/>
  <c r="J71" i="1"/>
  <c r="J17" i="1"/>
  <c r="E16" i="1"/>
  <c r="E102" i="1"/>
  <c r="E15" i="1"/>
  <c r="J114" i="1"/>
  <c r="H114" i="1"/>
  <c r="I114" i="1" s="1"/>
  <c r="J101" i="1"/>
  <c r="J102" i="1"/>
  <c r="H102" i="1"/>
  <c r="I102" i="1" s="1"/>
  <c r="J100" i="1"/>
  <c r="E78" i="1"/>
  <c r="I101" i="1" l="1"/>
  <c r="I74" i="1"/>
  <c r="K74" i="1" s="1"/>
  <c r="I78" i="1"/>
  <c r="K78" i="1" s="1"/>
  <c r="K102" i="1"/>
  <c r="K76" i="1"/>
  <c r="I77" i="1"/>
  <c r="K77" i="1" s="1"/>
  <c r="K101" i="1"/>
  <c r="K114" i="1"/>
  <c r="J85" i="1"/>
  <c r="J81" i="1"/>
  <c r="J79" i="1"/>
  <c r="G71" i="1"/>
  <c r="J112" i="1"/>
  <c r="H112" i="1"/>
  <c r="E65" i="1"/>
  <c r="F64" i="1"/>
  <c r="H17" i="1" s="1"/>
  <c r="I17" i="1" s="1"/>
  <c r="K17" i="1" s="1"/>
  <c r="J68" i="1"/>
  <c r="H68" i="1"/>
  <c r="I68" i="1" s="1"/>
  <c r="E62" i="1"/>
  <c r="E61" i="1"/>
  <c r="J65" i="1"/>
  <c r="J63" i="1"/>
  <c r="E60" i="1"/>
  <c r="J62" i="1"/>
  <c r="J111" i="1"/>
  <c r="H111" i="1"/>
  <c r="E53" i="1"/>
  <c r="J55" i="1"/>
  <c r="G52" i="1"/>
  <c r="E50" i="1"/>
  <c r="E48" i="1"/>
  <c r="J42" i="1"/>
  <c r="J41" i="1"/>
  <c r="E36" i="1"/>
  <c r="J35" i="1"/>
  <c r="J34" i="1"/>
  <c r="H34" i="1"/>
  <c r="I34" i="1" s="1"/>
  <c r="J33" i="1"/>
  <c r="J32" i="1"/>
  <c r="H32" i="1"/>
  <c r="I32" i="1" s="1"/>
  <c r="J31" i="1"/>
  <c r="H31" i="1"/>
  <c r="I31" i="1" s="1"/>
  <c r="J30" i="1"/>
  <c r="J27" i="1"/>
  <c r="E25" i="1"/>
  <c r="E24" i="1"/>
  <c r="E26" i="1"/>
  <c r="J24" i="1"/>
  <c r="H24" i="1"/>
  <c r="J25" i="1"/>
  <c r="H25" i="1"/>
  <c r="J109" i="1"/>
  <c r="E22" i="1"/>
  <c r="J21" i="1"/>
  <c r="H21" i="1"/>
  <c r="I21" i="1" s="1"/>
  <c r="H22" i="1"/>
  <c r="I22" i="1" s="1"/>
  <c r="J22" i="1"/>
  <c r="H79" i="1" l="1"/>
  <c r="I79" i="1" s="1"/>
  <c r="H71" i="1"/>
  <c r="I71" i="1" s="1"/>
  <c r="K71" i="1" s="1"/>
  <c r="I112" i="1"/>
  <c r="K112" i="1" s="1"/>
  <c r="H35" i="1"/>
  <c r="I35" i="1" s="1"/>
  <c r="K35" i="1" s="1"/>
  <c r="I111" i="1"/>
  <c r="K111" i="1" s="1"/>
  <c r="H81" i="1"/>
  <c r="I81" i="1" s="1"/>
  <c r="K81" i="1" s="1"/>
  <c r="K79" i="1"/>
  <c r="K68" i="1"/>
  <c r="K31" i="1"/>
  <c r="K34" i="1"/>
  <c r="I25" i="1"/>
  <c r="K25" i="1" s="1"/>
  <c r="K22" i="1"/>
  <c r="K21" i="1"/>
  <c r="K32" i="1"/>
  <c r="I24" i="1"/>
  <c r="K24" i="1" s="1"/>
  <c r="G28" i="1"/>
  <c r="H33" i="1" l="1"/>
  <c r="I33" i="1" s="1"/>
  <c r="K33" i="1" s="1"/>
  <c r="G109" i="1"/>
  <c r="H109" i="1" s="1"/>
  <c r="I109" i="1" s="1"/>
  <c r="K109" i="1" s="1"/>
  <c r="G100" i="1"/>
  <c r="G86" i="1"/>
  <c r="G85" i="1"/>
  <c r="G84" i="1"/>
  <c r="H27" i="1" s="1"/>
  <c r="I27" i="1" s="1"/>
  <c r="K27" i="1" s="1"/>
  <c r="G75" i="1"/>
  <c r="H83" i="1"/>
  <c r="I83" i="1" s="1"/>
  <c r="J83" i="1"/>
  <c r="G72" i="1"/>
  <c r="F62" i="1"/>
  <c r="H41" i="1" l="1"/>
  <c r="I41" i="1" s="1"/>
  <c r="K41" i="1" s="1"/>
  <c r="H75" i="1"/>
  <c r="I75" i="1" s="1"/>
  <c r="K75" i="1" s="1"/>
  <c r="H62" i="1"/>
  <c r="I62" i="1" s="1"/>
  <c r="K62" i="1" s="1"/>
  <c r="H30" i="1"/>
  <c r="I30" i="1" s="1"/>
  <c r="K30" i="1" s="1"/>
  <c r="H85" i="1"/>
  <c r="I85" i="1" s="1"/>
  <c r="K85" i="1" s="1"/>
  <c r="K83" i="1"/>
  <c r="G54" i="1"/>
  <c r="G55" i="1"/>
  <c r="H65" i="1" s="1"/>
  <c r="I65" i="1" s="1"/>
  <c r="K65" i="1" s="1"/>
  <c r="G53" i="1"/>
  <c r="G43" i="1"/>
  <c r="G44" i="1"/>
  <c r="G45" i="1"/>
  <c r="G46" i="1"/>
  <c r="G47" i="1"/>
  <c r="G48" i="1"/>
  <c r="G49" i="1"/>
  <c r="G50" i="1"/>
  <c r="G51" i="1"/>
  <c r="G42" i="1"/>
  <c r="H100" i="1"/>
  <c r="I100" i="1" s="1"/>
  <c r="K100" i="1" s="1"/>
  <c r="J15" i="1"/>
  <c r="H15" i="1"/>
  <c r="I15" i="1" s="1"/>
  <c r="H55" i="1" l="1"/>
  <c r="I55" i="1" s="1"/>
  <c r="K55" i="1" s="1"/>
  <c r="H42" i="1"/>
  <c r="I42" i="1" s="1"/>
  <c r="K42" i="1" s="1"/>
  <c r="K15" i="1"/>
  <c r="F23" i="1" l="1"/>
  <c r="H63" i="1" l="1"/>
  <c r="I63" i="1" s="1"/>
  <c r="K63" i="1" s="1"/>
  <c r="J113" i="1" l="1"/>
  <c r="H113" i="1"/>
  <c r="I113" i="1" s="1"/>
  <c r="K113" i="1" s="1"/>
  <c r="H28" i="1" l="1"/>
  <c r="I28" i="1" s="1"/>
  <c r="H26" i="1"/>
  <c r="I26" i="1" s="1"/>
  <c r="J84" i="1"/>
  <c r="H84" i="1"/>
  <c r="I84" i="1" s="1"/>
  <c r="J80" i="1"/>
  <c r="H80" i="1"/>
  <c r="I80" i="1" s="1"/>
  <c r="J73" i="1"/>
  <c r="H73" i="1"/>
  <c r="I73" i="1" s="1"/>
  <c r="J72" i="1"/>
  <c r="H72" i="1"/>
  <c r="I72" i="1" s="1"/>
  <c r="J70" i="1"/>
  <c r="H70" i="1"/>
  <c r="I70" i="1" s="1"/>
  <c r="J69" i="1"/>
  <c r="H69" i="1"/>
  <c r="I69" i="1" s="1"/>
  <c r="J67" i="1"/>
  <c r="H67" i="1"/>
  <c r="I67" i="1" s="1"/>
  <c r="J66" i="1"/>
  <c r="H66" i="1"/>
  <c r="I66" i="1" s="1"/>
  <c r="J64" i="1"/>
  <c r="H64" i="1"/>
  <c r="I64" i="1" s="1"/>
  <c r="J61" i="1"/>
  <c r="H61" i="1"/>
  <c r="I61" i="1" s="1"/>
  <c r="J60" i="1"/>
  <c r="H60" i="1"/>
  <c r="I60" i="1" s="1"/>
  <c r="J59" i="1"/>
  <c r="H59" i="1"/>
  <c r="I59" i="1" s="1"/>
  <c r="J58" i="1"/>
  <c r="H58" i="1"/>
  <c r="I58" i="1" s="1"/>
  <c r="J57" i="1"/>
  <c r="H57" i="1"/>
  <c r="I57" i="1" s="1"/>
  <c r="J56" i="1"/>
  <c r="H56" i="1"/>
  <c r="I56" i="1" s="1"/>
  <c r="J54" i="1"/>
  <c r="H54" i="1"/>
  <c r="I54" i="1" s="1"/>
  <c r="J53" i="1"/>
  <c r="H53" i="1"/>
  <c r="I53" i="1" s="1"/>
  <c r="J52" i="1"/>
  <c r="H52" i="1"/>
  <c r="I52" i="1" s="1"/>
  <c r="J51" i="1"/>
  <c r="H51" i="1"/>
  <c r="I51" i="1" s="1"/>
  <c r="J50" i="1"/>
  <c r="H50" i="1"/>
  <c r="I50" i="1" s="1"/>
  <c r="J49" i="1"/>
  <c r="H49" i="1"/>
  <c r="I49" i="1" s="1"/>
  <c r="J48" i="1"/>
  <c r="H48" i="1"/>
  <c r="I48" i="1" s="1"/>
  <c r="J47" i="1"/>
  <c r="H47" i="1"/>
  <c r="I47" i="1" s="1"/>
  <c r="J46" i="1"/>
  <c r="H46" i="1"/>
  <c r="I46" i="1" s="1"/>
  <c r="J45" i="1"/>
  <c r="H45" i="1"/>
  <c r="I45" i="1" s="1"/>
  <c r="J44" i="1"/>
  <c r="H44" i="1"/>
  <c r="I44" i="1" s="1"/>
  <c r="J43" i="1"/>
  <c r="H43" i="1"/>
  <c r="I43" i="1" s="1"/>
  <c r="J40" i="1"/>
  <c r="H40" i="1"/>
  <c r="I40" i="1" s="1"/>
  <c r="J39" i="1"/>
  <c r="H39" i="1"/>
  <c r="I39" i="1" s="1"/>
  <c r="J38" i="1"/>
  <c r="H38" i="1"/>
  <c r="I38" i="1" s="1"/>
  <c r="J37" i="1"/>
  <c r="H37" i="1"/>
  <c r="I37" i="1" s="1"/>
  <c r="J29" i="1"/>
  <c r="H29" i="1"/>
  <c r="I29" i="1" s="1"/>
  <c r="J28" i="1"/>
  <c r="J26" i="1"/>
  <c r="J23" i="1"/>
  <c r="H23" i="1"/>
  <c r="I23" i="1" s="1"/>
  <c r="J20" i="1"/>
  <c r="H20" i="1"/>
  <c r="I20" i="1" s="1"/>
  <c r="J19" i="1"/>
  <c r="H19" i="1"/>
  <c r="I19" i="1" s="1"/>
  <c r="J18" i="1"/>
  <c r="H18" i="1"/>
  <c r="I18" i="1" s="1"/>
  <c r="J94" i="1"/>
  <c r="H94" i="1"/>
  <c r="I94" i="1" s="1"/>
  <c r="J93" i="1"/>
  <c r="H93" i="1"/>
  <c r="I93" i="1" s="1"/>
  <c r="J92" i="1"/>
  <c r="H92" i="1"/>
  <c r="I92" i="1" s="1"/>
  <c r="J91" i="1"/>
  <c r="H91" i="1"/>
  <c r="I91" i="1" s="1"/>
  <c r="J90" i="1"/>
  <c r="H90" i="1"/>
  <c r="I90" i="1" s="1"/>
  <c r="J89" i="1"/>
  <c r="H89" i="1"/>
  <c r="I89" i="1" s="1"/>
  <c r="J88" i="1"/>
  <c r="H88" i="1"/>
  <c r="I88" i="1" s="1"/>
  <c r="J87" i="1"/>
  <c r="H87" i="1"/>
  <c r="I87" i="1" s="1"/>
  <c r="J86" i="1"/>
  <c r="H86" i="1"/>
  <c r="I86" i="1" s="1"/>
  <c r="J82" i="1"/>
  <c r="H82" i="1"/>
  <c r="I82" i="1" s="1"/>
  <c r="J36" i="1"/>
  <c r="H36" i="1"/>
  <c r="I36" i="1" s="1"/>
  <c r="J108" i="1"/>
  <c r="H108" i="1"/>
  <c r="I108" i="1" s="1"/>
  <c r="J107" i="1"/>
  <c r="H107" i="1"/>
  <c r="I107" i="1" s="1"/>
  <c r="J106" i="1"/>
  <c r="H106" i="1"/>
  <c r="I106" i="1" s="1"/>
  <c r="J105" i="1"/>
  <c r="H105" i="1"/>
  <c r="I105" i="1" s="1"/>
  <c r="J104" i="1"/>
  <c r="H104" i="1"/>
  <c r="I104" i="1" s="1"/>
  <c r="J103" i="1"/>
  <c r="H103" i="1"/>
  <c r="I103" i="1" s="1"/>
  <c r="J99" i="1"/>
  <c r="H99" i="1"/>
  <c r="I99" i="1" s="1"/>
  <c r="J98" i="1"/>
  <c r="H98" i="1"/>
  <c r="I98" i="1" s="1"/>
  <c r="J97" i="1"/>
  <c r="H97" i="1"/>
  <c r="I97" i="1" s="1"/>
  <c r="J96" i="1"/>
  <c r="H96" i="1"/>
  <c r="I96" i="1" s="1"/>
  <c r="J95" i="1"/>
  <c r="H95" i="1"/>
  <c r="I95" i="1" s="1"/>
  <c r="J110" i="1"/>
  <c r="H110" i="1"/>
  <c r="I110" i="1" s="1"/>
  <c r="J16" i="1"/>
  <c r="H16" i="1"/>
  <c r="I16" i="1" s="1"/>
  <c r="J14" i="1"/>
  <c r="H14" i="1"/>
  <c r="I14" i="1" s="1"/>
  <c r="K73" i="1" l="1"/>
  <c r="K16" i="1"/>
  <c r="K84" i="1"/>
  <c r="K80" i="1"/>
  <c r="K82" i="1"/>
  <c r="K28" i="1"/>
  <c r="K39" i="1"/>
  <c r="K43" i="1"/>
  <c r="K19" i="1"/>
  <c r="K40" i="1"/>
  <c r="K44" i="1"/>
  <c r="K48" i="1"/>
  <c r="K60" i="1"/>
  <c r="K37" i="1"/>
  <c r="K46" i="1"/>
  <c r="K49" i="1"/>
  <c r="K52" i="1"/>
  <c r="K54" i="1"/>
  <c r="K59" i="1"/>
  <c r="K64" i="1"/>
  <c r="K14" i="1"/>
  <c r="K67" i="1"/>
  <c r="K72" i="1"/>
  <c r="K69" i="1"/>
  <c r="K26" i="1"/>
  <c r="K47" i="1"/>
  <c r="K50" i="1"/>
  <c r="K58" i="1"/>
  <c r="K61" i="1"/>
  <c r="K38" i="1"/>
  <c r="K53" i="1"/>
  <c r="K56" i="1"/>
  <c r="K66" i="1"/>
  <c r="K70" i="1"/>
  <c r="K45" i="1"/>
  <c r="K51" i="1"/>
  <c r="K57" i="1"/>
  <c r="K87" i="1"/>
  <c r="K90" i="1"/>
  <c r="K20" i="1"/>
  <c r="K23" i="1"/>
  <c r="K99" i="1"/>
  <c r="K29" i="1"/>
  <c r="K98" i="1"/>
  <c r="K103" i="1"/>
  <c r="K18" i="1"/>
  <c r="K86" i="1"/>
  <c r="K89" i="1"/>
  <c r="K95" i="1"/>
  <c r="K106" i="1"/>
  <c r="K92" i="1"/>
  <c r="K94" i="1"/>
  <c r="K93" i="1"/>
  <c r="K97" i="1"/>
  <c r="K88" i="1"/>
  <c r="K96" i="1"/>
  <c r="K105" i="1"/>
  <c r="K108" i="1"/>
  <c r="K36" i="1"/>
  <c r="K91" i="1"/>
  <c r="K104" i="1"/>
  <c r="K107" i="1"/>
  <c r="K110" i="1"/>
  <c r="J12" i="1" l="1"/>
  <c r="J11" i="1"/>
  <c r="J9" i="1"/>
  <c r="J7" i="1"/>
  <c r="J8" i="1"/>
  <c r="H8" i="1"/>
  <c r="I8" i="1" s="1"/>
  <c r="K8" i="1" l="1"/>
  <c r="H11" i="1"/>
  <c r="I11" i="1" s="1"/>
  <c r="H7" i="1"/>
  <c r="I7" i="1" s="1"/>
  <c r="K11" i="1" l="1"/>
  <c r="H12" i="1"/>
  <c r="I12" i="1" s="1"/>
  <c r="K12" i="1" s="1"/>
  <c r="K7" i="1"/>
  <c r="H9" i="1"/>
  <c r="I9" i="1" s="1"/>
  <c r="K9" i="1" s="1"/>
  <c r="K6" i="1" l="1"/>
  <c r="I10" i="1"/>
  <c r="K10" i="1"/>
  <c r="I6" i="1"/>
  <c r="K13" i="1" l="1"/>
  <c r="K118" i="1" s="1"/>
  <c r="I13" i="1"/>
  <c r="L78" i="1" l="1"/>
  <c r="L75" i="1"/>
  <c r="L74" i="1"/>
  <c r="L77" i="1"/>
  <c r="L71" i="1"/>
  <c r="L76" i="1"/>
  <c r="L17" i="1"/>
  <c r="L114" i="1"/>
  <c r="L101" i="1"/>
  <c r="L100" i="1"/>
  <c r="L102" i="1"/>
  <c r="L85" i="1"/>
  <c r="L79" i="1"/>
  <c r="L81" i="1"/>
  <c r="L112" i="1"/>
  <c r="L65" i="1"/>
  <c r="L68" i="1"/>
  <c r="L62" i="1"/>
  <c r="L63" i="1"/>
  <c r="L55" i="1"/>
  <c r="L111" i="1"/>
  <c r="L41" i="1"/>
  <c r="L42" i="1"/>
  <c r="L34" i="1"/>
  <c r="L35" i="1"/>
  <c r="L32" i="1"/>
  <c r="L33" i="1"/>
  <c r="L30" i="1"/>
  <c r="L31" i="1"/>
  <c r="L24" i="1"/>
  <c r="L27" i="1"/>
  <c r="L109" i="1"/>
  <c r="L25" i="1"/>
  <c r="L22" i="1"/>
  <c r="L21" i="1"/>
  <c r="L83" i="1"/>
  <c r="L36" i="1"/>
  <c r="L15" i="1"/>
  <c r="L91" i="1"/>
  <c r="L95" i="1"/>
  <c r="L52" i="1"/>
  <c r="L20" i="1"/>
  <c r="L93" i="1"/>
  <c r="L94" i="1"/>
  <c r="L73" i="1"/>
  <c r="L86" i="1"/>
  <c r="L105" i="1"/>
  <c r="L66" i="1"/>
  <c r="L96" i="1"/>
  <c r="L8" i="1"/>
  <c r="L80" i="1"/>
  <c r="L11" i="1"/>
  <c r="L82" i="1"/>
  <c r="L72" i="1"/>
  <c r="L113" i="1"/>
  <c r="L110" i="1"/>
  <c r="L99" i="1"/>
  <c r="L26" i="1"/>
  <c r="L51" i="1"/>
  <c r="L90" i="1"/>
  <c r="L61" i="1"/>
  <c r="L69" i="1"/>
  <c r="L89" i="1"/>
  <c r="L48" i="1"/>
  <c r="L97" i="1"/>
  <c r="L50" i="1"/>
  <c r="L12" i="1"/>
  <c r="L53" i="1"/>
  <c r="L88" i="1"/>
  <c r="L58" i="1"/>
  <c r="L18" i="1"/>
  <c r="L54" i="1"/>
  <c r="L106" i="1"/>
  <c r="L47" i="1"/>
  <c r="L19" i="1"/>
  <c r="L64" i="1"/>
  <c r="L43" i="1"/>
  <c r="L49" i="1"/>
  <c r="L107" i="1"/>
  <c r="L37" i="1"/>
  <c r="L60" i="1"/>
  <c r="L56" i="1"/>
  <c r="L45" i="1"/>
  <c r="L38" i="1"/>
  <c r="L103" i="1"/>
  <c r="L44" i="1"/>
  <c r="L98" i="1"/>
  <c r="L7" i="1"/>
  <c r="L14" i="1"/>
  <c r="L16" i="1"/>
  <c r="L104" i="1"/>
  <c r="L84" i="1"/>
  <c r="L59" i="1"/>
  <c r="L46" i="1"/>
  <c r="L23" i="1"/>
  <c r="L39" i="1"/>
  <c r="L92" i="1"/>
  <c r="L28" i="1"/>
  <c r="L67" i="1"/>
  <c r="L9" i="1"/>
  <c r="L29" i="1"/>
  <c r="L108" i="1"/>
  <c r="L70" i="1"/>
  <c r="L57" i="1"/>
  <c r="L87" i="1"/>
  <c r="L40" i="1"/>
  <c r="L6" i="1" l="1"/>
  <c r="L13" i="1"/>
  <c r="L10" i="1"/>
  <c r="L118" i="1" l="1"/>
</calcChain>
</file>

<file path=xl/sharedStrings.xml><?xml version="1.0" encoding="utf-8"?>
<sst xmlns="http://schemas.openxmlformats.org/spreadsheetml/2006/main" count="941" uniqueCount="472">
  <si>
    <t>m</t>
  </si>
  <si>
    <t>un</t>
  </si>
  <si>
    <t>SERVIÇOS INICIAIS</t>
  </si>
  <si>
    <t>BDI</t>
  </si>
  <si>
    <t>ITEM</t>
  </si>
  <si>
    <t>DISCRIMINAÇÃO</t>
  </si>
  <si>
    <t>PREÇO UNITÁRIO</t>
  </si>
  <si>
    <t>MATERIAL</t>
  </si>
  <si>
    <t>MÃO-DE-OBRA</t>
  </si>
  <si>
    <t>TOTAL</t>
  </si>
  <si>
    <t>PREÇO TOTAL</t>
  </si>
  <si>
    <t>PREÇO TOTAL COM BDI</t>
  </si>
  <si>
    <t>% ITEM</t>
  </si>
  <si>
    <t>TOTAL DA OBRA COM BDI</t>
  </si>
  <si>
    <t>Proprietário</t>
  </si>
  <si>
    <t>1.1</t>
  </si>
  <si>
    <t>1.2</t>
  </si>
  <si>
    <t>m²</t>
  </si>
  <si>
    <t>kg</t>
  </si>
  <si>
    <t>Placa de obra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</si>
  <si>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</si>
  <si>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mês</t>
  </si>
  <si>
    <t>QUANT.</t>
  </si>
  <si>
    <t>1.3</t>
  </si>
  <si>
    <t>BDI =</t>
  </si>
  <si>
    <t>CLAUDIO FERRONATO
Eng° Eletricista</t>
  </si>
  <si>
    <t>Cabo de cu nu meio duro 07 fios 25 mm²</t>
  </si>
  <si>
    <t>Cinta circular D 240mm</t>
  </si>
  <si>
    <t>REF.</t>
  </si>
  <si>
    <t>INSTALAÇÕES</t>
  </si>
  <si>
    <t>ADMINISTRAÇÃO DA OBRA</t>
  </si>
  <si>
    <t>Anotação de Responsabilidade Técnica (ART) de execução</t>
  </si>
  <si>
    <t>mercado</t>
  </si>
  <si>
    <t>Aluguel sanitário quimico</t>
  </si>
  <si>
    <t>SINAPI 91677</t>
  </si>
  <si>
    <t>CREASC</t>
  </si>
  <si>
    <t>SINAPI 00020111</t>
  </si>
  <si>
    <t>SINAPI 00000404</t>
  </si>
  <si>
    <t>Fita auto-fusão (rolo 5 m)</t>
  </si>
  <si>
    <t>SINAPI 96985</t>
  </si>
  <si>
    <t>SINAPI 93208</t>
  </si>
  <si>
    <t>Execução de almoxarifado em canteiro de obra em chapa de madeira compensada</t>
  </si>
  <si>
    <t>SINAPI 74209/001</t>
  </si>
  <si>
    <t>h</t>
  </si>
  <si>
    <t>SINAPI 96972</t>
  </si>
  <si>
    <t>2.1</t>
  </si>
  <si>
    <t>2.2</t>
  </si>
  <si>
    <t>3.5</t>
  </si>
  <si>
    <t>3.29</t>
  </si>
  <si>
    <t>3.30</t>
  </si>
  <si>
    <t>3.33</t>
  </si>
  <si>
    <t>Haste de terra D13mm 2,400mm</t>
  </si>
  <si>
    <t>Arruela quad. D18x38x38x3mm</t>
  </si>
  <si>
    <t>Braço de aço galvanizado a fogo ip d49x3000mm</t>
  </si>
  <si>
    <t>Conector de perfuração 25/95-2,5/08</t>
  </si>
  <si>
    <t>Conector de perfuração 25/95-25/95</t>
  </si>
  <si>
    <t>Conector de perfuração 50/150-6/35</t>
  </si>
  <si>
    <t xml:space="preserve">Fita plástica </t>
  </si>
  <si>
    <t>Olhal 5000dan</t>
  </si>
  <si>
    <t>Sapatilha p/ cabo de aço</t>
  </si>
  <si>
    <t>Reinstalação de armação secundária 1 estribo</t>
  </si>
  <si>
    <t>Cinta circular D 200mm</t>
  </si>
  <si>
    <t>Cinta circular D 210mm</t>
  </si>
  <si>
    <t>Cinta circular D 220mm</t>
  </si>
  <si>
    <t>Alça pre-formada dist. Ca/caa 2 awg</t>
  </si>
  <si>
    <t>Alça pre-formada dist. Ca/caa 1/0 awg</t>
  </si>
  <si>
    <t>Alça pre-formada dist. Ca/caa 4 awg</t>
  </si>
  <si>
    <t>Fonte:</t>
  </si>
  <si>
    <t>3.1</t>
  </si>
  <si>
    <t>3.2</t>
  </si>
  <si>
    <t>3.6</t>
  </si>
  <si>
    <t>3.7</t>
  </si>
  <si>
    <t>3.8</t>
  </si>
  <si>
    <t>3.9</t>
  </si>
  <si>
    <t>3.10</t>
  </si>
  <si>
    <t>3.11</t>
  </si>
  <si>
    <t>3.12</t>
  </si>
  <si>
    <t>3.13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</si>
  <si>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</si>
  <si>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</si>
  <si>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</si>
  <si>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</si>
  <si>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</si>
  <si>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</si>
  <si>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</si>
  <si>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</si>
  <si>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</si>
  <si>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</si>
  <si>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</si>
  <si>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</si>
  <si>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</si>
  <si>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3.31</t>
  </si>
  <si>
    <t>3.32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</si>
  <si>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</si>
  <si>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</si>
  <si>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</si>
  <si>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</si>
  <si>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</si>
  <si>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</si>
  <si>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</si>
  <si>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</si>
  <si>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</si>
  <si>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</si>
  <si>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</si>
  <si>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</si>
  <si>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</si>
  <si>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</si>
  <si>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</si>
  <si>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</si>
  <si>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</si>
  <si>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</si>
  <si>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</si>
  <si>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</si>
  <si>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</si>
  <si>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</si>
  <si>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</si>
  <si>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</si>
  <si>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</si>
  <si>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</si>
  <si>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</si>
  <si>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</si>
  <si>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</si>
  <si>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</si>
  <si>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</si>
  <si>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</si>
  <si>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</si>
  <si>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3.69</t>
  </si>
  <si>
    <t>3.70</t>
  </si>
  <si>
    <t>3.71</t>
  </si>
  <si>
    <t>3.72</t>
  </si>
  <si>
    <t>3.73</t>
  </si>
  <si>
    <t>3.74</t>
  </si>
  <si>
    <t>3.79</t>
  </si>
  <si>
    <t>3.89</t>
  </si>
  <si>
    <t>ESTACA</t>
  </si>
  <si>
    <t>RAIZ,</t>
  </si>
  <si>
    <t>DIÂMETRO</t>
  </si>
  <si>
    <t>DE</t>
  </si>
  <si>
    <t>CM,</t>
  </si>
  <si>
    <t>COMPRIMENTO</t>
  </si>
  <si>
    <t>ATÉ</t>
  </si>
  <si>
    <t>M,</t>
  </si>
  <si>
    <t>COM</t>
  </si>
  <si>
    <t>PRESENÇA</t>
  </si>
  <si>
    <t>R</t>
  </si>
  <si>
    <t>M</t>
  </si>
  <si>
    <t>OCHA.</t>
  </si>
  <si>
    <t>AF_05/2017</t>
  </si>
  <si>
    <t>C</t>
  </si>
  <si>
    <t>COMPRESSOR</t>
  </si>
  <si>
    <t>AR</t>
  </si>
  <si>
    <t>REBOCÁVEL,</t>
  </si>
  <si>
    <t>VAZÃO</t>
  </si>
  <si>
    <t>PCM,</t>
  </si>
  <si>
    <t>PRESSÃO</t>
  </si>
  <si>
    <t>EFETIVA</t>
  </si>
  <si>
    <t>TRABALHO</t>
  </si>
  <si>
    <t>CHP</t>
  </si>
  <si>
    <t>AS</t>
  </si>
  <si>
    <t>PSI,</t>
  </si>
  <si>
    <t>MOTOR</t>
  </si>
  <si>
    <t>DIESEL,</t>
  </si>
  <si>
    <t>POTÊNCIA</t>
  </si>
  <si>
    <t>CV</t>
  </si>
  <si>
    <t>-</t>
  </si>
  <si>
    <t>DIURNO.</t>
  </si>
  <si>
    <t>AF_06/2015</t>
  </si>
  <si>
    <t>CHI</t>
  </si>
  <si>
    <t>I</t>
  </si>
  <si>
    <t>TUBO</t>
  </si>
  <si>
    <t>PVC,</t>
  </si>
  <si>
    <t>SOLDAVEL,</t>
  </si>
  <si>
    <t>DN</t>
  </si>
  <si>
    <t>MM,</t>
  </si>
  <si>
    <t>PARA</t>
  </si>
  <si>
    <t>AGUA</t>
  </si>
  <si>
    <t>FRIA</t>
  </si>
  <si>
    <t>(NBR-5648)</t>
  </si>
  <si>
    <t>CR</t>
  </si>
  <si>
    <t>TARIFA</t>
  </si>
  <si>
    <t>A</t>
  </si>
  <si>
    <t>ENTRE</t>
  </si>
  <si>
    <t>E</t>
  </si>
  <si>
    <t>20M3</t>
  </si>
  <si>
    <t>FORNECIMENTO</t>
  </si>
  <si>
    <t>D'AGUA</t>
  </si>
  <si>
    <t>M3</t>
  </si>
  <si>
    <t>REVESTIMENTO,</t>
  </si>
  <si>
    <t>EM</t>
  </si>
  <si>
    <t>ACO,</t>
  </si>
  <si>
    <t>CORPO</t>
  </si>
  <si>
    <t>SCHEDULE</t>
  </si>
  <si>
    <t>PONTEIRA</t>
  </si>
  <si>
    <t>ROS</t>
  </si>
  <si>
    <t>QUEAVEL</t>
  </si>
  <si>
    <t>SEGMENTADO</t>
  </si>
  <si>
    <t>PERFURACAO,</t>
  </si>
  <si>
    <t>DIAMETRO</t>
  </si>
  <si>
    <t>10''</t>
  </si>
  <si>
    <t>(310</t>
  </si>
  <si>
    <t>MM)</t>
  </si>
  <si>
    <t>(COLETADO</t>
  </si>
  <si>
    <t>CA</t>
  </si>
  <si>
    <t>IXA)</t>
  </si>
  <si>
    <t>SERVENTE</t>
  </si>
  <si>
    <t>ENCARGOS</t>
  </si>
  <si>
    <t>COMPLEMENTARES</t>
  </si>
  <si>
    <t>H</t>
  </si>
  <si>
    <t>SINAPI</t>
  </si>
  <si>
    <t>SISTEMA</t>
  </si>
  <si>
    <t>NACIONAL</t>
  </si>
  <si>
    <t>PESQUISA</t>
  </si>
  <si>
    <t>CUSTOS</t>
  </si>
  <si>
    <t>ÍNDICES</t>
  </si>
  <si>
    <t>DA</t>
  </si>
  <si>
    <t>CONSTRUÇÃO</t>
  </si>
  <si>
    <t>CIVIL</t>
  </si>
  <si>
    <t>de</t>
  </si>
  <si>
    <t>PCI.818.01</t>
  </si>
  <si>
    <t>COMPOSIÇÕES</t>
  </si>
  <si>
    <t>ANALÍTICO</t>
  </si>
  <si>
    <t>DATA</t>
  </si>
  <si>
    <t>EMISSÃO:13/06/2019</t>
  </si>
  <si>
    <t>SOCIAIS</t>
  </si>
  <si>
    <t>SOBRE</t>
  </si>
  <si>
    <t>PREÇOS</t>
  </si>
  <si>
    <t>MÃO-DE-OBRA:</t>
  </si>
  <si>
    <t>114,03%(HORA)</t>
  </si>
  <si>
    <t>71,88%(MÊS)</t>
  </si>
  <si>
    <t>ABRANGENCIA:</t>
  </si>
  <si>
    <t>REFERENCIA</t>
  </si>
  <si>
    <t>TECNICA:</t>
  </si>
  <si>
    <t>VÍNCULO</t>
  </si>
  <si>
    <t>:</t>
  </si>
  <si>
    <t>CAIXA</t>
  </si>
  <si>
    <t>REFERENCIAL</t>
  </si>
  <si>
    <t>BOMBA</t>
  </si>
  <si>
    <t>TRIPLEX,</t>
  </si>
  <si>
    <t>INJEÇÃO</t>
  </si>
  <si>
    <t>NATA</t>
  </si>
  <si>
    <t>CIMENTO,</t>
  </si>
  <si>
    <t>MÁXIMA</t>
  </si>
  <si>
    <t>LITROS</t>
  </si>
  <si>
    <t>/MINUTO,</t>
  </si>
  <si>
    <t>BAR</t>
  </si>
  <si>
    <t>CENTRÍFUGA</t>
  </si>
  <si>
    <t>MONOESTÁGIO</t>
  </si>
  <si>
    <t>ELÉTRICO</t>
  </si>
  <si>
    <t>MONOFÁSICO,</t>
  </si>
  <si>
    <t>HP</t>
  </si>
  <si>
    <t>,</t>
  </si>
  <si>
    <t>DO</t>
  </si>
  <si>
    <t>ROTOR</t>
  </si>
  <si>
    <t>HM/Q</t>
  </si>
  <si>
    <t>=</t>
  </si>
  <si>
    <t>MCA</t>
  </si>
  <si>
    <t>/</t>
  </si>
  <si>
    <t>M3/H</t>
  </si>
  <si>
    <t>HI</t>
  </si>
  <si>
    <t>ARGAMASSA</t>
  </si>
  <si>
    <t>TRAÇO</t>
  </si>
  <si>
    <t>(CIMENTO</t>
  </si>
  <si>
    <t>AREIA</t>
  </si>
  <si>
    <t>MÉDIA),</t>
  </si>
  <si>
    <t>FCK</t>
  </si>
  <si>
    <t>MPA,</t>
  </si>
  <si>
    <t>PREPARO</t>
  </si>
  <si>
    <t>MECÂNI</t>
  </si>
  <si>
    <t>CO</t>
  </si>
  <si>
    <t>MISTURADOR</t>
  </si>
  <si>
    <t>DUPLO</t>
  </si>
  <si>
    <t>HORIZONTAL</t>
  </si>
  <si>
    <t>ALTA</t>
  </si>
  <si>
    <t>TURBULÊNCIA.</t>
  </si>
  <si>
    <t>AF_11/2016</t>
  </si>
  <si>
    <t>MONTAGEM</t>
  </si>
  <si>
    <t>ARMADURA</t>
  </si>
  <si>
    <t>LONGITUDINAL</t>
  </si>
  <si>
    <t>ESTACAS</t>
  </si>
  <si>
    <t>SEÇÃO</t>
  </si>
  <si>
    <t>CIRCULAR,</t>
  </si>
  <si>
    <t>KG</t>
  </si>
  <si>
    <t>MM.</t>
  </si>
  <si>
    <t>TRANSVERSAL</t>
  </si>
  <si>
    <t>SERVIÇOS</t>
  </si>
  <si>
    <t>TÉCNICOS</t>
  </si>
  <si>
    <t>ESPECIALIZADOS</t>
  </si>
  <si>
    <t>ACOMPANHAMENTO</t>
  </si>
  <si>
    <t>EXECUÇÃO</t>
  </si>
  <si>
    <t>FUNDAÇ</t>
  </si>
  <si>
    <t>ÕES</t>
  </si>
  <si>
    <t>PROFUNDAS</t>
  </si>
  <si>
    <t>ESTRUTURAS</t>
  </si>
  <si>
    <t>CONTENÇÃO</t>
  </si>
  <si>
    <t>PERFURATRIZ</t>
  </si>
  <si>
    <t>ROTATIVA</t>
  </si>
  <si>
    <t>ESTEIRA,</t>
  </si>
  <si>
    <t>TORQUE</t>
  </si>
  <si>
    <t>MAXIMO</t>
  </si>
  <si>
    <t>KGM,</t>
  </si>
  <si>
    <t>POTENCIA</t>
  </si>
  <si>
    <t>P,</t>
  </si>
  <si>
    <t>DIESEL</t>
  </si>
  <si>
    <t>DIESEL-</t>
  </si>
  <si>
    <t>AR,</t>
  </si>
  <si>
    <t>VAZAO</t>
  </si>
  <si>
    <t>RESERVATORIO</t>
  </si>
  <si>
    <t>L,</t>
  </si>
  <si>
    <t>PRESSAO</t>
  </si>
  <si>
    <t>HP,</t>
  </si>
  <si>
    <t>TENSAO</t>
  </si>
  <si>
    <t>110/220</t>
  </si>
  <si>
    <t>V</t>
  </si>
  <si>
    <t>AF_05/</t>
  </si>
  <si>
    <t>BAR,</t>
  </si>
  <si>
    <t>EQUIPAMENTO</t>
  </si>
  <si>
    <t>%</t>
  </si>
  <si>
    <t>MAO</t>
  </si>
  <si>
    <t>OBRA</t>
  </si>
  <si>
    <t>OUTROS</t>
  </si>
  <si>
    <t>COMPOSIÇÃO</t>
  </si>
  <si>
    <t>ORIGEM</t>
  </si>
  <si>
    <t>PREÇO:</t>
  </si>
  <si>
    <t>CELESC 300008</t>
  </si>
  <si>
    <t>USC</t>
  </si>
  <si>
    <t>mercado + SINAPI 73767/2</t>
  </si>
  <si>
    <t>mercado + CELESC 300318</t>
  </si>
  <si>
    <t>mercado + CELESC 300319</t>
  </si>
  <si>
    <t>Conector cunha 1/0x1/0 (cartucho incluso)</t>
  </si>
  <si>
    <t>Conector cunha 1/0x2 (cartucho incluso)</t>
  </si>
  <si>
    <t>Conector cunha 1/0x4 (cartucho incluso)</t>
  </si>
  <si>
    <t>Conector cunha 2x2 (cartucho incluso)</t>
  </si>
  <si>
    <t>Conector cunha 2x4 (cartucho incluso)</t>
  </si>
  <si>
    <t>Conector cunha 4x4 (cartucho incluso)</t>
  </si>
  <si>
    <t>Conector cunha para aterramento 25 a 35mm (cartucho incluso)</t>
  </si>
  <si>
    <t>Conector cunha tipo A (cartucho incluso)</t>
  </si>
  <si>
    <t>Conector cunha tipo B (cartucho incluso)</t>
  </si>
  <si>
    <t>Conector cunha tipo I (cartucho incluso)</t>
  </si>
  <si>
    <t>mercado + SINAPI 73767/1</t>
  </si>
  <si>
    <t>Fio de cobre isol. 750v 2,5mm²</t>
  </si>
  <si>
    <t>SINAPI 91926</t>
  </si>
  <si>
    <t>mercado + CELESC 300359</t>
  </si>
  <si>
    <t>Parafuso cabeça quadrada D16x250x170mm com porca</t>
  </si>
  <si>
    <t>Parafuso cabeça quadrada D16x300x220mm com porca</t>
  </si>
  <si>
    <t>Parafuso cabeça quadrada D16x350x270mm com porca</t>
  </si>
  <si>
    <t>mercado + CELESC 300247</t>
  </si>
  <si>
    <t>Poste de concreto circular 10m 300daN</t>
  </si>
  <si>
    <t>Poste de concreto duplo T 10m 300daN</t>
  </si>
  <si>
    <t>CELESC 300291</t>
  </si>
  <si>
    <t>CELESC 300582</t>
  </si>
  <si>
    <t>CELESC 300619</t>
  </si>
  <si>
    <t>CELESC 300610</t>
  </si>
  <si>
    <t>CELESC 300667</t>
  </si>
  <si>
    <t>SINAPI 00007581</t>
  </si>
  <si>
    <t>mercado + CELESC 300372</t>
  </si>
  <si>
    <t>Engenheiro Eletricista com encargos complementares - 40 horas/mês - 2 meses</t>
  </si>
  <si>
    <t>3.3</t>
  </si>
  <si>
    <t>3.14</t>
  </si>
  <si>
    <t>3.43</t>
  </si>
  <si>
    <t>3.68</t>
  </si>
  <si>
    <t>CLAUDIO FERRONATO</t>
  </si>
  <si>
    <t>Eng.º Eletricista</t>
  </si>
  <si>
    <t>mercado + CELESC 300405</t>
  </si>
  <si>
    <t>mercado + SINAPI ... = valor mercado (material) e referência SINAPI (mão de obra)</t>
  </si>
  <si>
    <t>mercado + CELESC ... = valor mercado (material) e referência CELESC (mão de obra)</t>
  </si>
  <si>
    <t>SINAPI + CELESC = referência  SINAPI (material) e referência da CELESC (mão de obra)</t>
  </si>
  <si>
    <t xml:space="preserve">CELESC - USC (Unidade de Serviço da Construção) = </t>
  </si>
  <si>
    <t>PREFEITURA MUNICIPAL DE CORDILHEIRA ALTA
CORDILHEIRA ALTA -SC
ORÇAMENTO ANALÍTICO
ILUMINAÇÃO PÚBLICA</t>
  </si>
  <si>
    <t>agosto/2019</t>
  </si>
  <si>
    <t>Anel de amarração</t>
  </si>
  <si>
    <t>Cabo de cobre isolado 750v 10mm²</t>
  </si>
  <si>
    <t>Cabo de cobre isolado 750v 2,5mm²</t>
  </si>
  <si>
    <t>Cabo multiplexado 1x1x10+10mm² isol. XLPE 01kv</t>
  </si>
  <si>
    <t>Cabo multiplexado 3x1x16+16mm² isol. XLPE 01kv</t>
  </si>
  <si>
    <t>Cabo multiplexado 3x1x50+35mm² isol. XLPE 01kv</t>
  </si>
  <si>
    <t>Chave magnética 1Fx32Ax220V</t>
  </si>
  <si>
    <t>Chave magnética 2Fx32Ax220V</t>
  </si>
  <si>
    <t>Chumbador 500x500mm</t>
  </si>
  <si>
    <t>Cinta circular D 190mm</t>
  </si>
  <si>
    <t>Cinta circular D 260mm</t>
  </si>
  <si>
    <t>Cinta circular D 280mm</t>
  </si>
  <si>
    <t>Conector cunha tipo II (cartucho incluso)</t>
  </si>
  <si>
    <t>Conjunto grampo suspensão cabo multiplexado</t>
  </si>
  <si>
    <t>Curva de aço 90º 2"</t>
  </si>
  <si>
    <t>Eletroduto corrugado PEAD de 63mm, dim. 49mm (2”)</t>
  </si>
  <si>
    <t>Fio de alumínio recozido 4 AWG</t>
  </si>
  <si>
    <t>Fita de alumínio proteção 1x10mm</t>
  </si>
  <si>
    <t>rolo</t>
  </si>
  <si>
    <t>Retirada de isolador roldana</t>
  </si>
  <si>
    <t>Luva de aço galvanizado 2"</t>
  </si>
  <si>
    <t>Luva união PEAD Canaflex 2"</t>
  </si>
  <si>
    <t>Para-raios distribuição 10kA 280V</t>
  </si>
  <si>
    <t>Parafuso cabeça abaulada D16x70x35mm com porca</t>
  </si>
  <si>
    <t>Poste aço curvo duplo galvanizado a fogo base chumbada 9m</t>
  </si>
  <si>
    <t>Poste aço curvo simples galvanizado a fogo base chumbada 9m</t>
  </si>
  <si>
    <t>Poste aço curvo simples galvanizado a fogo base chumbada 6m</t>
  </si>
  <si>
    <t>Tampa ferro fundido 90x70mm</t>
  </si>
  <si>
    <t>Terminal sapata para cabo 10mm²</t>
  </si>
  <si>
    <t>Tubo de aço galvanizado D=2” barra 06m</t>
  </si>
  <si>
    <t>Aberura de cava em rocha (compressor + explosivo) - 11 unid.</t>
  </si>
  <si>
    <t>Aberura de cava em rocha (compressor) - 4 unid.</t>
  </si>
  <si>
    <r>
      <t xml:space="preserve">Abertura de cava em terreno normal </t>
    </r>
    <r>
      <rPr>
        <sz val="10"/>
        <rFont val="Calibri"/>
        <family val="2"/>
      </rPr>
      <t>- 1 unid.</t>
    </r>
  </si>
  <si>
    <t>Caixa de passagem tipo "C" (1,00X0,60X0,60m)</t>
  </si>
  <si>
    <t>Caixa de passagem tipo "A" (0,80X0,50X0,40m c/ tampa de concreto)</t>
  </si>
  <si>
    <t>CELESC 300384</t>
  </si>
  <si>
    <t>Fita adesiva isolante (rolo 20m)</t>
  </si>
  <si>
    <t>Lançamento circuito BT (1, 2, 3 ou 4 condutores) - 800 m</t>
  </si>
  <si>
    <t>CELESC 300406</t>
  </si>
  <si>
    <t>Lançamento condutor multiplexado 50mm² (km) - 0,12km</t>
  </si>
  <si>
    <t>CELESC 300372</t>
  </si>
  <si>
    <t>Retirada de transformador trifásico - 1 un</t>
  </si>
  <si>
    <t>Instalação de transformador trifásico - 1 un</t>
  </si>
  <si>
    <t>Instalação de poste menor 12m com guindauto - 16 un</t>
  </si>
  <si>
    <t>Instalação de armação - 14 un</t>
  </si>
  <si>
    <t>Retirada de I. P. comum - 13 un</t>
  </si>
  <si>
    <t>Retirada de cabo 4 CA/CAA - 1,45 km</t>
  </si>
  <si>
    <t>Retirada de armação secundária 1 estribo - 54 un</t>
  </si>
  <si>
    <t>Retirada de I. P. especial - 106 un</t>
  </si>
  <si>
    <t>Adaptação aéreo-subterrânea - 6 un</t>
  </si>
  <si>
    <t>Retirada de luminária 3 pétalas - 9 un</t>
  </si>
  <si>
    <t>Retirada de poste com guindauto (maior 15m) - 9 un</t>
  </si>
  <si>
    <t>Retensionamento de condutor - 1,2 km</t>
  </si>
  <si>
    <t>CELESC  300658</t>
  </si>
  <si>
    <t>Retirada de poste com guindauto (menor 12m) - 11 un</t>
  </si>
  <si>
    <t>CELESC 300361</t>
  </si>
  <si>
    <t>CELESC 300649</t>
  </si>
  <si>
    <t>Tabela SINAPI junho/2019 desonerado</t>
  </si>
  <si>
    <t>SINAPI 00012327 proporcional</t>
  </si>
  <si>
    <t>SINAPI 00001574</t>
  </si>
  <si>
    <t>SINAPI 00021013</t>
  </si>
  <si>
    <t>SINAPI 91932</t>
  </si>
  <si>
    <t>SINAPI 97889</t>
  </si>
  <si>
    <t>SINAPI 97890</t>
  </si>
  <si>
    <t>mercado + CELESC 300406</t>
  </si>
  <si>
    <t>SINAPI 00002631</t>
  </si>
  <si>
    <t>SINAPI 73798/1</t>
  </si>
  <si>
    <t>CELESC 300405</t>
  </si>
  <si>
    <t>SINAPI 2643</t>
  </si>
  <si>
    <t>SINAPI 2668</t>
  </si>
  <si>
    <t>mercado + CELESC 300368</t>
  </si>
  <si>
    <t>SINAPI 39746</t>
  </si>
  <si>
    <t>SINAPI 407</t>
  </si>
  <si>
    <t>SINAPI 14163 + CELESC 300372</t>
  </si>
  <si>
    <t>SINAPI 5052 + CELESC 300372</t>
  </si>
  <si>
    <t>SINAPI 14162 + CELESC 300372</t>
  </si>
  <si>
    <t>CELESC 300358</t>
  </si>
  <si>
    <t>Reinstalação braço de aço galvanizado a fogo IP D49x3000mm - 106 un</t>
  </si>
  <si>
    <t>CELESC 300345</t>
  </si>
  <si>
    <t>Reinstalação de cruzeta de concreto 90x112.5x2300mm - 1 un</t>
  </si>
  <si>
    <t>Reinstalação de isolador roldana - 12 un</t>
  </si>
  <si>
    <t>Reinstalação de poste de concreto duplo T 10m 150daN - 5 un</t>
  </si>
  <si>
    <t>Reinstalação de poste de concreto duplo T 10m 300daN - 3 un</t>
  </si>
  <si>
    <t>Reinstalação de poste de concreto duplo T 11m 300daN - 1 un</t>
  </si>
  <si>
    <t>Reinstalação de poste de concreto duplo T 9m 150daN - 1 un</t>
  </si>
  <si>
    <t>Reinstalação de poste de concreto duplo T 9m 300daN - 1 un</t>
  </si>
  <si>
    <t>Reinstalação de transformador trifásico 112,5kVA 23,1kV 380/220V 25,8kV - 1 un</t>
  </si>
  <si>
    <t>CELESC 300645</t>
  </si>
  <si>
    <t>Retirada de braço de aço galvanizado a fogo IP D32x1000mm - 13 un</t>
  </si>
  <si>
    <t>CELESC 300589</t>
  </si>
  <si>
    <t>Retirada de circuito  BT (1, 2, 3 ou 4 condutores) - 0,32 km</t>
  </si>
  <si>
    <t>CELESC 300646</t>
  </si>
  <si>
    <t>CELESC 300653</t>
  </si>
  <si>
    <t>Retirada de poste com guindauto (17m) - 1 un</t>
  </si>
  <si>
    <t>CELESC  300673</t>
  </si>
  <si>
    <t>Retirada de cabo de alumínio nú 7 fios 4 AWG - 99,6 kg/km</t>
  </si>
  <si>
    <t>Terminal pra cabo 25mm²</t>
  </si>
  <si>
    <t>CELESC 650860</t>
  </si>
  <si>
    <t>mercado + CELESC 300311</t>
  </si>
  <si>
    <t>CELESC 300001</t>
  </si>
  <si>
    <t>CELESC 300006</t>
  </si>
  <si>
    <t>Luminária de Aluminio injetado, sistema de fixação Ø 25 63mm, Lente de Vidro Borosilicado, ângulo de irradiação Luminosa 80x140°, Led COB (Chip on Board), Temperatura de Cor 5.000 K, Tensão de Alimentação Bivolt 100-250~, vida ultil L70/50.000hs, Eficiencia Energética Classe A,  60HZ, Luminária de LED  100W c/ Fotocelula Integrada</t>
  </si>
  <si>
    <t>Luminária de Aluminio injetado, sistema de fixação Ø 25 63mm, Lente de Vidro Borosilicado, ângulo de irradiação Luminosa 80x140°, Led COB (Chip on Board), Temperatura de Cor 5.000 K, Tensão de Alimentação Bivolt 100-250~, vida ultil L70/50.000hs, Eficiencia Energética Classe A,  60HZ, Luminária de LED  150W c/ Fotocelula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</si>
</sst>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 R$ &quot;* #,##0.00\ ;&quot;-R$ &quot;* #,##0.00\ ;&quot; R$ &quot;* \-#\ ;@\ "/>
    <numFmt numFmtId="166" formatCode="* #,##0.00\ ;* \(#,##0.00\);* \-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166" fontId="10" fillId="0" borderId="0" applyBorder="0" applyProtection="0"/>
    <xf numFmtId="165" fontId="10" fillId="0" borderId="0" applyBorder="0" applyProtection="0"/>
    <xf numFmtId="9" fontId="10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5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10" fontId="5" fillId="0" borderId="1" xfId="3" applyNumberFormat="1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44" fontId="6" fillId="2" borderId="1" xfId="3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10" fontId="5" fillId="0" borderId="5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44" fontId="6" fillId="0" borderId="0" xfId="3" applyFont="1" applyFill="1" applyBorder="1" applyAlignment="1">
      <alignment wrapText="1"/>
    </xf>
    <xf numFmtId="164" fontId="5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164" fontId="5" fillId="0" borderId="11" xfId="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164" fontId="5" fillId="0" borderId="0" xfId="1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/>
    <xf numFmtId="10" fontId="6" fillId="2" borderId="5" xfId="2" applyNumberFormat="1" applyFont="1" applyFill="1" applyBorder="1" applyAlignment="1">
      <alignment horizontal="center"/>
    </xf>
    <xf numFmtId="10" fontId="6" fillId="0" borderId="9" xfId="2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right" vertical="center"/>
    </xf>
    <xf numFmtId="4" fontId="5" fillId="0" borderId="10" xfId="3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4" fontId="5" fillId="0" borderId="11" xfId="1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/>
    </xf>
    <xf numFmtId="4" fontId="6" fillId="2" borderId="1" xfId="3" applyNumberFormat="1" applyFont="1" applyFill="1" applyBorder="1" applyAlignment="1">
      <alignment horizontal="right"/>
    </xf>
    <xf numFmtId="4" fontId="6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/>
    </xf>
    <xf numFmtId="4" fontId="5" fillId="0" borderId="11" xfId="3" applyNumberFormat="1" applyFont="1" applyFill="1" applyBorder="1" applyAlignment="1">
      <alignment horizontal="right"/>
    </xf>
    <xf numFmtId="4" fontId="5" fillId="0" borderId="0" xfId="3" applyNumberFormat="1" applyFont="1" applyFill="1" applyAlignment="1">
      <alignment horizontal="right"/>
    </xf>
    <xf numFmtId="4" fontId="5" fillId="0" borderId="0" xfId="1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164" fontId="6" fillId="2" borderId="1" xfId="1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164" fontId="6" fillId="2" borderId="1" xfId="1" applyFont="1" applyFill="1" applyBorder="1" applyAlignment="1">
      <alignment horizontal="right" wrapText="1"/>
    </xf>
    <xf numFmtId="164" fontId="5" fillId="0" borderId="1" xfId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164" fontId="6" fillId="0" borderId="0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right" wrapText="1"/>
    </xf>
    <xf numFmtId="164" fontId="5" fillId="0" borderId="11" xfId="1" applyFont="1" applyFill="1" applyBorder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164" fontId="5" fillId="0" borderId="0" xfId="1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10" fontId="5" fillId="0" borderId="13" xfId="2" applyNumberFormat="1" applyFont="1" applyFill="1" applyBorder="1" applyAlignment="1">
      <alignment wrapText="1"/>
    </xf>
    <xf numFmtId="4" fontId="6" fillId="0" borderId="0" xfId="3" applyNumberFormat="1" applyFont="1" applyFill="1" applyBorder="1" applyAlignment="1">
      <alignment horizontal="right" vertical="center" wrapText="1"/>
    </xf>
    <xf numFmtId="44" fontId="6" fillId="0" borderId="0" xfId="3" applyFont="1" applyFill="1" applyBorder="1" applyAlignment="1">
      <alignment vertical="center" wrapText="1"/>
    </xf>
    <xf numFmtId="164" fontId="6" fillId="0" borderId="7" xfId="1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vertical="center"/>
    </xf>
    <xf numFmtId="43" fontId="4" fillId="0" borderId="0" xfId="0" applyNumberFormat="1" applyFont="1" applyFill="1" applyBorder="1"/>
    <xf numFmtId="43" fontId="6" fillId="0" borderId="0" xfId="0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164" fontId="5" fillId="0" borderId="10" xfId="1" applyFont="1" applyFill="1" applyBorder="1" applyAlignment="1">
      <alignment horizontal="left" wrapText="1"/>
    </xf>
    <xf numFmtId="164" fontId="5" fillId="0" borderId="0" xfId="1" applyFont="1" applyFill="1" applyBorder="1" applyAlignment="1">
      <alignment horizontal="left" wrapText="1"/>
    </xf>
    <xf numFmtId="164" fontId="6" fillId="2" borderId="1" xfId="1" applyFont="1" applyFill="1" applyBorder="1" applyAlignment="1">
      <alignment horizontal="left"/>
    </xf>
    <xf numFmtId="164" fontId="8" fillId="2" borderId="1" xfId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64" fontId="6" fillId="0" borderId="0" xfId="1" applyFont="1" applyFill="1" applyBorder="1" applyAlignment="1">
      <alignment horizontal="left" vertical="center"/>
    </xf>
    <xf numFmtId="164" fontId="5" fillId="0" borderId="0" xfId="1" applyFont="1" applyFill="1" applyBorder="1" applyAlignment="1">
      <alignment horizontal="left"/>
    </xf>
    <xf numFmtId="164" fontId="5" fillId="0" borderId="11" xfId="1" applyFont="1" applyFill="1" applyBorder="1" applyAlignment="1">
      <alignment horizontal="left"/>
    </xf>
    <xf numFmtId="164" fontId="5" fillId="0" borderId="0" xfId="1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5" fillId="0" borderId="0" xfId="1" applyFont="1" applyFill="1" applyBorder="1" applyAlignment="1">
      <alignment horizontal="right"/>
    </xf>
    <xf numFmtId="164" fontId="5" fillId="0" borderId="10" xfId="1" applyFont="1" applyFill="1" applyBorder="1" applyAlignment="1">
      <alignment horizontal="right" wrapText="1"/>
    </xf>
    <xf numFmtId="164" fontId="5" fillId="0" borderId="11" xfId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" fontId="0" fillId="0" borderId="0" xfId="0" applyNumberFormat="1"/>
    <xf numFmtId="21" fontId="0" fillId="0" borderId="0" xfId="0" applyNumberFormat="1"/>
    <xf numFmtId="14" fontId="0" fillId="0" borderId="0" xfId="0" applyNumberFormat="1"/>
    <xf numFmtId="47" fontId="0" fillId="0" borderId="0" xfId="0" applyNumberFormat="1"/>
    <xf numFmtId="4" fontId="5" fillId="0" borderId="1" xfId="3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164" fontId="5" fillId="0" borderId="1" xfId="1" applyFont="1" applyBorder="1" applyAlignment="1">
      <alignment horizontal="left"/>
    </xf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1" fontId="6" fillId="2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3" xfId="0" applyNumberFormat="1" applyFont="1" applyFill="1" applyBorder="1" applyAlignment="1">
      <alignment horizontal="right" vertical="center" wrapText="1"/>
    </xf>
    <xf numFmtId="43" fontId="5" fillId="0" borderId="0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25" xfId="0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/>
    </xf>
    <xf numFmtId="10" fontId="5" fillId="0" borderId="1" xfId="3" applyNumberFormat="1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left" vertical="center"/>
    </xf>
    <xf numFmtId="164" fontId="6" fillId="0" borderId="1" xfId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right" vertical="center" wrapText="1"/>
    </xf>
    <xf numFmtId="164" fontId="5" fillId="0" borderId="10" xfId="1" applyFont="1" applyFill="1" applyBorder="1" applyAlignment="1">
      <alignment horizontal="right" vertical="center" wrapText="1"/>
    </xf>
    <xf numFmtId="49" fontId="5" fillId="0" borderId="12" xfId="0" applyNumberFormat="1" applyFont="1" applyFill="1" applyBorder="1" applyAlignment="1">
      <alignment horizontal="right" wrapText="1"/>
    </xf>
    <xf numFmtId="49" fontId="5" fillId="0" borderId="10" xfId="0" applyNumberFormat="1" applyFont="1" applyFill="1" applyBorder="1" applyAlignment="1">
      <alignment horizontal="right" wrapText="1"/>
    </xf>
    <xf numFmtId="49" fontId="5" fillId="0" borderId="13" xfId="0" applyNumberFormat="1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wrapText="1"/>
    </xf>
    <xf numFmtId="4" fontId="6" fillId="0" borderId="1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2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8" fontId="5" fillId="0" borderId="24" xfId="0" applyNumberFormat="1" applyFont="1" applyFill="1" applyBorder="1" applyAlignment="1">
      <alignment horizontal="left" wrapText="1"/>
    </xf>
    <xf numFmtId="0" fontId="5" fillId="0" borderId="8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13">
    <cellStyle name="Moeda" xfId="3" builtinId="4"/>
    <cellStyle name="Moeda 2" xfId="5"/>
    <cellStyle name="Moeda 3" xfId="9"/>
    <cellStyle name="Normal" xfId="0" builtinId="0"/>
    <cellStyle name="Normal 2" xfId="4"/>
    <cellStyle name="Normal 2 10" xfId="6"/>
    <cellStyle name="Normal 3" xfId="7"/>
    <cellStyle name="Porcentagem" xfId="2" builtinId="5"/>
    <cellStyle name="Porcentagem 2" xfId="10"/>
    <cellStyle name="Vírgula" xfId="1" builtinId="3"/>
    <cellStyle name="Vírgula 2" xfId="8"/>
    <cellStyle name="Vírgula 3" xfId="11"/>
    <cellStyle name="Vírgula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X144"/>
  <sheetViews>
    <sheetView tabSelected="1" topLeftCell="B64" workbookViewId="0">
      <selection activeCell="C71" sqref="C71"/>
    </sheetView>
  </sheetViews>
  <sheetFormatPr defaultRowHeight="12.75" x14ac:dyDescent="0.2"/>
  <cols>
    <col min="1" max="1" width="4.7109375" style="34" bestFit="1" customWidth="1"/>
    <col min="2" max="2" width="29.7109375" style="135" customWidth="1"/>
    <col min="3" max="3" width="59.28515625" style="35" bestFit="1" customWidth="1"/>
    <col min="4" max="4" width="4.7109375" style="34" bestFit="1" customWidth="1"/>
    <col min="5" max="5" width="9" style="106" bestFit="1" customWidth="1"/>
    <col min="6" max="6" width="9.28515625" style="71" bestFit="1" customWidth="1"/>
    <col min="7" max="7" width="12.85546875" style="59" bestFit="1" customWidth="1"/>
    <col min="8" max="8" width="13.5703125" style="60" customWidth="1"/>
    <col min="9" max="9" width="11.5703125" style="60" bestFit="1" customWidth="1"/>
    <col min="10" max="10" width="10.42578125" style="36" customWidth="1"/>
    <col min="11" max="11" width="12.5703125" style="70" customWidth="1"/>
    <col min="12" max="12" width="9.42578125" style="34" customWidth="1"/>
    <col min="13" max="13" width="12.7109375" style="2" bestFit="1" customWidth="1"/>
    <col min="14" max="14" width="11" style="2" bestFit="1" customWidth="1"/>
    <col min="15" max="439" width="9.140625" style="2"/>
    <col min="440" max="16384" width="9.140625" style="1"/>
  </cols>
  <sheetData>
    <row r="1" spans="1:440" ht="92.25" customHeight="1" thickBot="1" x14ac:dyDescent="0.25">
      <c r="A1" s="175" t="s">
        <v>25</v>
      </c>
      <c r="B1" s="176"/>
      <c r="C1" s="176"/>
      <c r="D1" s="177"/>
      <c r="E1" s="149" t="s">
        <v>367</v>
      </c>
      <c r="F1" s="150"/>
      <c r="G1" s="150"/>
      <c r="H1" s="150"/>
      <c r="I1" s="150"/>
      <c r="J1" s="150"/>
      <c r="K1" s="150"/>
      <c r="L1" s="151"/>
    </row>
    <row r="2" spans="1:440" ht="13.5" thickBot="1" x14ac:dyDescent="0.25">
      <c r="A2" s="158"/>
      <c r="B2" s="159"/>
      <c r="C2" s="159"/>
      <c r="D2" s="159"/>
      <c r="E2" s="98"/>
      <c r="F2" s="112"/>
      <c r="G2" s="48"/>
      <c r="H2" s="49"/>
      <c r="I2" s="172" t="s">
        <v>368</v>
      </c>
      <c r="J2" s="173"/>
      <c r="K2" s="173"/>
      <c r="L2" s="174"/>
    </row>
    <row r="3" spans="1:440" ht="13.5" thickBot="1" x14ac:dyDescent="0.25">
      <c r="A3" s="160"/>
      <c r="B3" s="161"/>
      <c r="C3" s="161"/>
      <c r="D3" s="161"/>
      <c r="E3" s="99"/>
      <c r="F3" s="68"/>
      <c r="G3" s="51"/>
      <c r="H3" s="52"/>
      <c r="I3" s="170" t="s">
        <v>24</v>
      </c>
      <c r="J3" s="171"/>
      <c r="K3" s="171"/>
      <c r="L3" s="75">
        <v>0.25</v>
      </c>
    </row>
    <row r="4" spans="1:440" s="3" customFormat="1" x14ac:dyDescent="0.25">
      <c r="A4" s="181" t="s">
        <v>4</v>
      </c>
      <c r="B4" s="185" t="s">
        <v>28</v>
      </c>
      <c r="C4" s="152" t="s">
        <v>5</v>
      </c>
      <c r="D4" s="154" t="s">
        <v>1</v>
      </c>
      <c r="E4" s="156" t="s">
        <v>22</v>
      </c>
      <c r="F4" s="168" t="s">
        <v>6</v>
      </c>
      <c r="G4" s="168"/>
      <c r="H4" s="168"/>
      <c r="I4" s="168" t="s">
        <v>10</v>
      </c>
      <c r="J4" s="166" t="s">
        <v>3</v>
      </c>
      <c r="K4" s="164" t="s">
        <v>11</v>
      </c>
      <c r="L4" s="162" t="s">
        <v>12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</row>
    <row r="5" spans="1:440" s="5" customFormat="1" x14ac:dyDescent="0.25">
      <c r="A5" s="182"/>
      <c r="B5" s="186"/>
      <c r="C5" s="153"/>
      <c r="D5" s="155"/>
      <c r="E5" s="157"/>
      <c r="F5" s="114" t="s">
        <v>7</v>
      </c>
      <c r="G5" s="121" t="s">
        <v>8</v>
      </c>
      <c r="H5" s="74" t="s">
        <v>9</v>
      </c>
      <c r="I5" s="169"/>
      <c r="J5" s="167"/>
      <c r="K5" s="165"/>
      <c r="L5" s="16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</row>
    <row r="6" spans="1:440" s="6" customFormat="1" x14ac:dyDescent="0.2">
      <c r="A6" s="85">
        <v>1</v>
      </c>
      <c r="B6" s="126"/>
      <c r="C6" s="8" t="s">
        <v>2</v>
      </c>
      <c r="E6" s="100"/>
      <c r="F6" s="82"/>
      <c r="G6" s="122"/>
      <c r="H6" s="54"/>
      <c r="I6" s="55">
        <f>SUM(I7:I9)</f>
        <v>7520.2399999999989</v>
      </c>
      <c r="K6" s="55">
        <f>SUM(K7:K9)</f>
        <v>9400.2999999999993</v>
      </c>
      <c r="L6" s="39">
        <f>SUM(L7:L9)</f>
        <v>1.5676536361804768E-2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7"/>
    </row>
    <row r="7" spans="1:440" s="14" customFormat="1" ht="25.5" x14ac:dyDescent="0.2">
      <c r="A7" s="86" t="s">
        <v>15</v>
      </c>
      <c r="B7" s="127" t="s">
        <v>40</v>
      </c>
      <c r="C7" s="10" t="s">
        <v>41</v>
      </c>
      <c r="D7" s="11" t="s">
        <v>17</v>
      </c>
      <c r="E7" s="102">
        <v>8</v>
      </c>
      <c r="F7" s="63">
        <f>533.92+0.06+0.12</f>
        <v>534.09999999999991</v>
      </c>
      <c r="G7" s="63">
        <v>130.41999999999999</v>
      </c>
      <c r="H7" s="63">
        <f>F7+G7</f>
        <v>664.51999999999987</v>
      </c>
      <c r="I7" s="63">
        <f>E7*H7</f>
        <v>5316.1599999999989</v>
      </c>
      <c r="J7" s="12">
        <f>$L$3</f>
        <v>0.25</v>
      </c>
      <c r="K7" s="63">
        <f>I7*(1+J7)</f>
        <v>6645.1999999999989</v>
      </c>
      <c r="L7" s="19">
        <f>K7/$K$118</f>
        <v>1.1081956898339951E-2</v>
      </c>
      <c r="M7" s="80"/>
      <c r="N7" s="80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</row>
    <row r="8" spans="1:440" s="14" customFormat="1" x14ac:dyDescent="0.2">
      <c r="A8" s="86" t="s">
        <v>16</v>
      </c>
      <c r="B8" s="127" t="s">
        <v>32</v>
      </c>
      <c r="C8" s="10" t="s">
        <v>33</v>
      </c>
      <c r="D8" s="11" t="s">
        <v>21</v>
      </c>
      <c r="E8" s="102">
        <v>2</v>
      </c>
      <c r="F8" s="63">
        <v>475</v>
      </c>
      <c r="G8" s="63"/>
      <c r="H8" s="63">
        <f>F8+G8</f>
        <v>475</v>
      </c>
      <c r="I8" s="63">
        <f>E8*H8</f>
        <v>950</v>
      </c>
      <c r="J8" s="12">
        <f>$L$3</f>
        <v>0.25</v>
      </c>
      <c r="K8" s="63">
        <f>I8*(1+J8)</f>
        <v>1187.5</v>
      </c>
      <c r="L8" s="19">
        <f>K8/$K$118</f>
        <v>1.980350300484364E-3</v>
      </c>
      <c r="M8" s="80"/>
      <c r="N8" s="8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</row>
    <row r="9" spans="1:440" s="14" customFormat="1" ht="15" x14ac:dyDescent="0.2">
      <c r="A9" s="86" t="s">
        <v>23</v>
      </c>
      <c r="B9" s="127" t="s">
        <v>42</v>
      </c>
      <c r="C9" s="10" t="s">
        <v>19</v>
      </c>
      <c r="D9" s="11" t="s">
        <v>20</v>
      </c>
      <c r="E9" s="102">
        <v>4</v>
      </c>
      <c r="F9" s="63">
        <v>269.01</v>
      </c>
      <c r="G9" s="63">
        <v>44.51</v>
      </c>
      <c r="H9" s="63">
        <f>F9+G9</f>
        <v>313.52</v>
      </c>
      <c r="I9" s="63">
        <f>E9*H9</f>
        <v>1254.08</v>
      </c>
      <c r="J9" s="12">
        <f>$L$3</f>
        <v>0.25</v>
      </c>
      <c r="K9" s="63">
        <f>I9*(1+J9)</f>
        <v>1567.6</v>
      </c>
      <c r="L9" s="19">
        <f>K9/$K$118</f>
        <v>2.6142291629804534E-3</v>
      </c>
      <c r="M9" s="80"/>
      <c r="N9" s="80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</row>
    <row r="10" spans="1:440" s="6" customFormat="1" x14ac:dyDescent="0.2">
      <c r="A10" s="85">
        <v>2</v>
      </c>
      <c r="B10" s="126"/>
      <c r="C10" s="8" t="s">
        <v>30</v>
      </c>
      <c r="E10" s="100"/>
      <c r="F10" s="82"/>
      <c r="G10" s="122"/>
      <c r="H10" s="54"/>
      <c r="I10" s="55">
        <f>SUM(I11:I12)</f>
        <v>6832.0999999999995</v>
      </c>
      <c r="K10" s="55">
        <f>SUM(K11:K12)</f>
        <v>8540.125</v>
      </c>
      <c r="L10" s="39">
        <f>SUM(L11:L12)</f>
        <v>1.4242053987304444E-2</v>
      </c>
      <c r="M10" s="8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7"/>
    </row>
    <row r="11" spans="1:440" s="14" customFormat="1" ht="25.5" x14ac:dyDescent="0.2">
      <c r="A11" s="86" t="s">
        <v>45</v>
      </c>
      <c r="B11" s="127" t="s">
        <v>34</v>
      </c>
      <c r="C11" s="10" t="s">
        <v>355</v>
      </c>
      <c r="D11" s="11" t="s">
        <v>43</v>
      </c>
      <c r="E11" s="102">
        <v>80</v>
      </c>
      <c r="F11" s="63"/>
      <c r="G11" s="63">
        <v>82.57</v>
      </c>
      <c r="H11" s="63">
        <f>F11+G11</f>
        <v>82.57</v>
      </c>
      <c r="I11" s="63">
        <f>E11*H11</f>
        <v>6605.5999999999995</v>
      </c>
      <c r="J11" s="12">
        <f>$L$3</f>
        <v>0.25</v>
      </c>
      <c r="K11" s="63">
        <f>I11*(1+J11)</f>
        <v>8257</v>
      </c>
      <c r="L11" s="19">
        <f>K11/$K$118</f>
        <v>1.3769896784083699E-2</v>
      </c>
      <c r="M11" s="80"/>
      <c r="N11" s="80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</row>
    <row r="12" spans="1:440" s="14" customFormat="1" x14ac:dyDescent="0.2">
      <c r="A12" s="86" t="s">
        <v>46</v>
      </c>
      <c r="B12" s="127" t="s">
        <v>35</v>
      </c>
      <c r="C12" s="15" t="s">
        <v>31</v>
      </c>
      <c r="D12" s="11" t="s">
        <v>1</v>
      </c>
      <c r="E12" s="102">
        <v>1</v>
      </c>
      <c r="F12" s="63">
        <v>226.5</v>
      </c>
      <c r="G12" s="63"/>
      <c r="H12" s="63">
        <f>F12+G12</f>
        <v>226.5</v>
      </c>
      <c r="I12" s="63">
        <f>E12*H12</f>
        <v>226.5</v>
      </c>
      <c r="J12" s="12">
        <f>$L$3</f>
        <v>0.25</v>
      </c>
      <c r="K12" s="63">
        <f>I12*(1+J12)</f>
        <v>283.125</v>
      </c>
      <c r="L12" s="19">
        <f>K12/$K$118</f>
        <v>4.7215720322074569E-4</v>
      </c>
      <c r="M12" s="80"/>
      <c r="N12" s="80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</row>
    <row r="13" spans="1:440" s="73" customFormat="1" x14ac:dyDescent="0.2">
      <c r="A13" s="87">
        <v>3</v>
      </c>
      <c r="B13" s="128"/>
      <c r="C13" s="17" t="s">
        <v>29</v>
      </c>
      <c r="D13" s="18"/>
      <c r="E13" s="101"/>
      <c r="F13" s="82"/>
      <c r="G13" s="82"/>
      <c r="H13" s="62"/>
      <c r="I13" s="64">
        <f>SUM(I14:I114)</f>
        <v>465360.76922499138</v>
      </c>
      <c r="J13" s="16"/>
      <c r="K13" s="64">
        <f>SUM(K14:K114)</f>
        <v>581700.9615312391</v>
      </c>
      <c r="L13" s="39">
        <f>SUM(L14:L114)</f>
        <v>0.97008140965089096</v>
      </c>
      <c r="M13" s="80"/>
      <c r="N13" s="80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</row>
    <row r="14" spans="1:440" s="14" customFormat="1" x14ac:dyDescent="0.2">
      <c r="A14" s="88" t="s">
        <v>68</v>
      </c>
      <c r="B14" s="10" t="s">
        <v>323</v>
      </c>
      <c r="C14" s="96" t="s">
        <v>401</v>
      </c>
      <c r="D14" s="107" t="s">
        <v>324</v>
      </c>
      <c r="E14" s="108">
        <v>2</v>
      </c>
      <c r="F14" s="65"/>
      <c r="G14" s="123">
        <v>59</v>
      </c>
      <c r="H14" s="63">
        <f>F14+G14</f>
        <v>59</v>
      </c>
      <c r="I14" s="63">
        <f>E14*H14</f>
        <v>118</v>
      </c>
      <c r="J14" s="12">
        <f t="shared" ref="J14:J114" si="0">$L$3</f>
        <v>0.25</v>
      </c>
      <c r="K14" s="63">
        <f>I14*(1+J14)</f>
        <v>147.5</v>
      </c>
      <c r="L14" s="19">
        <f t="shared" ref="L14:L45" si="1">K14/$K$118</f>
        <v>2.4598035311279467E-4</v>
      </c>
      <c r="M14" s="80"/>
      <c r="N14" s="8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</row>
    <row r="15" spans="1:440" s="14" customFormat="1" x14ac:dyDescent="0.2">
      <c r="A15" s="88" t="s">
        <v>69</v>
      </c>
      <c r="B15" s="10" t="s">
        <v>468</v>
      </c>
      <c r="C15" s="116" t="s">
        <v>399</v>
      </c>
      <c r="D15" s="107" t="s">
        <v>324</v>
      </c>
      <c r="E15" s="108">
        <f>25*11</f>
        <v>275</v>
      </c>
      <c r="F15" s="65"/>
      <c r="G15" s="123">
        <v>59</v>
      </c>
      <c r="H15" s="63">
        <f>F15+G15</f>
        <v>59</v>
      </c>
      <c r="I15" s="63">
        <f>E15*H15</f>
        <v>16225</v>
      </c>
      <c r="J15" s="12">
        <f t="shared" si="0"/>
        <v>0.25</v>
      </c>
      <c r="K15" s="63">
        <f>I15*(1+J15)</f>
        <v>20281.25</v>
      </c>
      <c r="L15" s="19">
        <f t="shared" si="1"/>
        <v>3.3822298553009264E-2</v>
      </c>
      <c r="M15" s="80"/>
      <c r="N15" s="80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</row>
    <row r="16" spans="1:440" s="14" customFormat="1" x14ac:dyDescent="0.2">
      <c r="A16" s="88" t="s">
        <v>356</v>
      </c>
      <c r="B16" s="10" t="s">
        <v>469</v>
      </c>
      <c r="C16" s="116" t="s">
        <v>400</v>
      </c>
      <c r="D16" s="107" t="s">
        <v>324</v>
      </c>
      <c r="E16" s="108">
        <f>4*7</f>
        <v>28</v>
      </c>
      <c r="F16" s="65"/>
      <c r="G16" s="123">
        <v>59</v>
      </c>
      <c r="H16" s="63">
        <f>F16+G16</f>
        <v>59</v>
      </c>
      <c r="I16" s="63">
        <f>E16*H16</f>
        <v>1652</v>
      </c>
      <c r="J16" s="12">
        <f t="shared" si="0"/>
        <v>0.25</v>
      </c>
      <c r="K16" s="63">
        <f>I16*(1+J16)</f>
        <v>2065</v>
      </c>
      <c r="L16" s="19">
        <f t="shared" si="1"/>
        <v>3.4437249435791254E-3</v>
      </c>
      <c r="M16" s="80"/>
      <c r="N16" s="80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</row>
    <row r="17" spans="1:439" s="14" customFormat="1" x14ac:dyDescent="0.2">
      <c r="A17" s="88" t="s">
        <v>356</v>
      </c>
      <c r="B17" s="10" t="s">
        <v>466</v>
      </c>
      <c r="C17" s="116" t="s">
        <v>418</v>
      </c>
      <c r="D17" s="107" t="s">
        <v>324</v>
      </c>
      <c r="E17" s="108">
        <f>4*35.3</f>
        <v>141.19999999999999</v>
      </c>
      <c r="F17" s="65"/>
      <c r="G17" s="123">
        <v>59</v>
      </c>
      <c r="H17" s="63">
        <f>F17+G17</f>
        <v>59</v>
      </c>
      <c r="I17" s="63">
        <f>E17*H17</f>
        <v>8330.7999999999993</v>
      </c>
      <c r="J17" s="12">
        <f t="shared" si="0"/>
        <v>0.25</v>
      </c>
      <c r="K17" s="63">
        <f>I17*(1+J17)</f>
        <v>10413.5</v>
      </c>
      <c r="L17" s="19">
        <f t="shared" si="1"/>
        <v>1.7366212929763303E-2</v>
      </c>
      <c r="M17" s="80"/>
      <c r="N17" s="80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</row>
    <row r="18" spans="1:439" s="14" customFormat="1" x14ac:dyDescent="0.2">
      <c r="A18" s="88" t="s">
        <v>47</v>
      </c>
      <c r="B18" s="10" t="s">
        <v>325</v>
      </c>
      <c r="C18" s="93" t="s">
        <v>65</v>
      </c>
      <c r="D18" s="109" t="s">
        <v>1</v>
      </c>
      <c r="E18" s="110">
        <v>4</v>
      </c>
      <c r="F18" s="65">
        <v>10.72</v>
      </c>
      <c r="G18" s="123">
        <v>3.23</v>
      </c>
      <c r="H18" s="63">
        <f t="shared" ref="H18:H29" si="2">F18+G18</f>
        <v>13.950000000000001</v>
      </c>
      <c r="I18" s="63">
        <f t="shared" ref="I18:I29" si="3">E18*H18</f>
        <v>55.800000000000004</v>
      </c>
      <c r="J18" s="12">
        <f t="shared" si="0"/>
        <v>0.25</v>
      </c>
      <c r="K18" s="63">
        <f t="shared" ref="K18:K29" si="4">I18*(1+J18)</f>
        <v>69.75</v>
      </c>
      <c r="L18" s="19">
        <f t="shared" si="1"/>
        <v>1.1631952291266053E-4</v>
      </c>
      <c r="M18" s="80"/>
      <c r="N18" s="80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</row>
    <row r="19" spans="1:439" s="14" customFormat="1" x14ac:dyDescent="0.2">
      <c r="A19" s="88" t="s">
        <v>70</v>
      </c>
      <c r="B19" s="10" t="s">
        <v>325</v>
      </c>
      <c r="C19" s="93" t="s">
        <v>64</v>
      </c>
      <c r="D19" s="109" t="s">
        <v>1</v>
      </c>
      <c r="E19" s="110">
        <v>16</v>
      </c>
      <c r="F19" s="65">
        <v>4.76</v>
      </c>
      <c r="G19" s="123">
        <v>3.23</v>
      </c>
      <c r="H19" s="63">
        <f t="shared" si="2"/>
        <v>7.99</v>
      </c>
      <c r="I19" s="63">
        <f t="shared" si="3"/>
        <v>127.84</v>
      </c>
      <c r="J19" s="12">
        <f t="shared" si="0"/>
        <v>0.25</v>
      </c>
      <c r="K19" s="63">
        <f t="shared" si="4"/>
        <v>159.80000000000001</v>
      </c>
      <c r="L19" s="19">
        <f t="shared" si="1"/>
        <v>2.6649261306728537E-4</v>
      </c>
      <c r="M19" s="80"/>
      <c r="N19" s="8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</row>
    <row r="20" spans="1:439" s="14" customFormat="1" x14ac:dyDescent="0.2">
      <c r="A20" s="88" t="s">
        <v>71</v>
      </c>
      <c r="B20" s="10" t="s">
        <v>325</v>
      </c>
      <c r="C20" s="93" t="s">
        <v>66</v>
      </c>
      <c r="D20" s="109" t="s">
        <v>1</v>
      </c>
      <c r="E20" s="110">
        <v>18</v>
      </c>
      <c r="F20" s="65">
        <v>3.22</v>
      </c>
      <c r="G20" s="123">
        <v>3.23</v>
      </c>
      <c r="H20" s="63">
        <f t="shared" si="2"/>
        <v>6.45</v>
      </c>
      <c r="I20" s="63">
        <f t="shared" si="3"/>
        <v>116.10000000000001</v>
      </c>
      <c r="J20" s="12">
        <f t="shared" si="0"/>
        <v>0.25</v>
      </c>
      <c r="K20" s="63">
        <f t="shared" si="4"/>
        <v>145.125</v>
      </c>
      <c r="L20" s="19">
        <f t="shared" si="1"/>
        <v>2.4201965251182593E-4</v>
      </c>
      <c r="M20" s="80"/>
      <c r="N20" s="80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</row>
    <row r="21" spans="1:439" s="14" customFormat="1" x14ac:dyDescent="0.2">
      <c r="A21" s="88" t="s">
        <v>72</v>
      </c>
      <c r="B21" s="10" t="s">
        <v>32</v>
      </c>
      <c r="C21" s="93" t="s">
        <v>369</v>
      </c>
      <c r="D21" s="109" t="s">
        <v>1</v>
      </c>
      <c r="E21" s="110">
        <v>24</v>
      </c>
      <c r="F21" s="65">
        <v>5.08</v>
      </c>
      <c r="G21" s="123"/>
      <c r="H21" s="63">
        <f t="shared" ref="H21" si="5">F21+G21</f>
        <v>5.08</v>
      </c>
      <c r="I21" s="63">
        <f t="shared" ref="I21" si="6">E21*H21</f>
        <v>121.92</v>
      </c>
      <c r="J21" s="12">
        <f t="shared" si="0"/>
        <v>0.25</v>
      </c>
      <c r="K21" s="63">
        <f t="shared" ref="K21" si="7">I21*(1+J21)</f>
        <v>152.4</v>
      </c>
      <c r="L21" s="19">
        <f t="shared" si="1"/>
        <v>2.5415190382637224E-4</v>
      </c>
      <c r="M21" s="80"/>
      <c r="N21" s="80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</row>
    <row r="22" spans="1:439" s="14" customFormat="1" x14ac:dyDescent="0.2">
      <c r="A22" s="88" t="s">
        <v>72</v>
      </c>
      <c r="B22" s="10" t="s">
        <v>32</v>
      </c>
      <c r="C22" s="93" t="s">
        <v>52</v>
      </c>
      <c r="D22" s="109" t="s">
        <v>1</v>
      </c>
      <c r="E22" s="110">
        <f>30+56</f>
        <v>86</v>
      </c>
      <c r="F22" s="65">
        <v>0.54</v>
      </c>
      <c r="G22" s="123"/>
      <c r="H22" s="63">
        <f t="shared" si="2"/>
        <v>0.54</v>
      </c>
      <c r="I22" s="63">
        <f t="shared" si="3"/>
        <v>46.440000000000005</v>
      </c>
      <c r="J22" s="12">
        <f t="shared" si="0"/>
        <v>0.25</v>
      </c>
      <c r="K22" s="63">
        <f t="shared" si="4"/>
        <v>58.050000000000004</v>
      </c>
      <c r="L22" s="19">
        <f t="shared" si="1"/>
        <v>9.6807861004730386E-5</v>
      </c>
      <c r="M22" s="80"/>
      <c r="N22" s="80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</row>
    <row r="23" spans="1:439" s="14" customFormat="1" x14ac:dyDescent="0.2">
      <c r="A23" s="88" t="s">
        <v>73</v>
      </c>
      <c r="B23" s="10" t="s">
        <v>32</v>
      </c>
      <c r="C23" s="93" t="s">
        <v>53</v>
      </c>
      <c r="D23" s="109" t="s">
        <v>1</v>
      </c>
      <c r="E23" s="110">
        <v>38</v>
      </c>
      <c r="F23" s="65">
        <f>113.95*1.05</f>
        <v>119.64750000000001</v>
      </c>
      <c r="G23" s="123"/>
      <c r="H23" s="63">
        <f t="shared" si="2"/>
        <v>119.64750000000001</v>
      </c>
      <c r="I23" s="63">
        <f t="shared" si="3"/>
        <v>4546.6050000000005</v>
      </c>
      <c r="J23" s="12">
        <f t="shared" si="0"/>
        <v>0.25</v>
      </c>
      <c r="K23" s="63">
        <f t="shared" si="4"/>
        <v>5683.2562500000004</v>
      </c>
      <c r="L23" s="19">
        <f t="shared" si="1"/>
        <v>9.4777585030881174E-3</v>
      </c>
      <c r="M23" s="80"/>
      <c r="N23" s="80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</row>
    <row r="24" spans="1:439" s="14" customFormat="1" x14ac:dyDescent="0.2">
      <c r="A24" s="88" t="s">
        <v>74</v>
      </c>
      <c r="B24" s="10" t="s">
        <v>430</v>
      </c>
      <c r="C24" s="93" t="s">
        <v>370</v>
      </c>
      <c r="D24" s="109" t="s">
        <v>0</v>
      </c>
      <c r="E24" s="110">
        <f>800+800+800</f>
        <v>2400</v>
      </c>
      <c r="F24" s="65">
        <v>6.61</v>
      </c>
      <c r="G24" s="123">
        <v>3.03</v>
      </c>
      <c r="H24" s="63">
        <f t="shared" si="2"/>
        <v>9.64</v>
      </c>
      <c r="I24" s="63">
        <f t="shared" si="3"/>
        <v>23136</v>
      </c>
      <c r="J24" s="12">
        <f t="shared" si="0"/>
        <v>0.25</v>
      </c>
      <c r="K24" s="63">
        <f t="shared" si="4"/>
        <v>28920</v>
      </c>
      <c r="L24" s="19">
        <f t="shared" si="1"/>
        <v>4.8228825844217095E-2</v>
      </c>
      <c r="M24" s="80"/>
      <c r="N24" s="80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</row>
    <row r="25" spans="1:439" s="14" customFormat="1" x14ac:dyDescent="0.2">
      <c r="A25" s="88" t="s">
        <v>74</v>
      </c>
      <c r="B25" s="10" t="s">
        <v>340</v>
      </c>
      <c r="C25" s="93" t="s">
        <v>371</v>
      </c>
      <c r="D25" s="109" t="s">
        <v>0</v>
      </c>
      <c r="E25" s="110">
        <f>350+350</f>
        <v>700</v>
      </c>
      <c r="F25" s="65">
        <v>1.62</v>
      </c>
      <c r="G25" s="123">
        <v>1.18</v>
      </c>
      <c r="H25" s="63">
        <f t="shared" ref="H25" si="8">F25+G25</f>
        <v>2.8</v>
      </c>
      <c r="I25" s="63">
        <f t="shared" ref="I25" si="9">E25*H25</f>
        <v>1959.9999999999998</v>
      </c>
      <c r="J25" s="12">
        <f t="shared" si="0"/>
        <v>0.25</v>
      </c>
      <c r="K25" s="63">
        <f t="shared" ref="K25" si="10">I25*(1+J25)</f>
        <v>2449.9999999999995</v>
      </c>
      <c r="L25" s="19">
        <f t="shared" si="1"/>
        <v>4.0857753567887919E-3</v>
      </c>
      <c r="M25" s="80"/>
      <c r="N25" s="80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</row>
    <row r="26" spans="1:439" s="14" customFormat="1" x14ac:dyDescent="0.2">
      <c r="A26" s="88" t="s">
        <v>75</v>
      </c>
      <c r="B26" s="129" t="s">
        <v>44</v>
      </c>
      <c r="C26" s="93" t="s">
        <v>26</v>
      </c>
      <c r="D26" s="109" t="s">
        <v>18</v>
      </c>
      <c r="E26" s="110">
        <f>3+12</f>
        <v>15</v>
      </c>
      <c r="F26" s="65">
        <v>18.38</v>
      </c>
      <c r="G26" s="123">
        <v>13.55</v>
      </c>
      <c r="H26" s="63">
        <f t="shared" si="2"/>
        <v>31.93</v>
      </c>
      <c r="I26" s="63">
        <f t="shared" si="3"/>
        <v>478.95</v>
      </c>
      <c r="J26" s="12">
        <f t="shared" si="0"/>
        <v>0.25</v>
      </c>
      <c r="K26" s="63">
        <f t="shared" si="4"/>
        <v>598.6875</v>
      </c>
      <c r="L26" s="19">
        <f t="shared" si="1"/>
        <v>9.9840923833366944E-4</v>
      </c>
      <c r="M26" s="80"/>
      <c r="N26" s="80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</row>
    <row r="27" spans="1:439" s="14" customFormat="1" x14ac:dyDescent="0.2">
      <c r="A27" s="88" t="s">
        <v>76</v>
      </c>
      <c r="B27" s="10" t="s">
        <v>362</v>
      </c>
      <c r="C27" s="93" t="s">
        <v>372</v>
      </c>
      <c r="D27" s="109" t="s">
        <v>0</v>
      </c>
      <c r="E27" s="110">
        <v>180</v>
      </c>
      <c r="F27" s="65">
        <v>2.86</v>
      </c>
      <c r="G27" s="123">
        <f>50/1000*59</f>
        <v>2.95</v>
      </c>
      <c r="H27" s="63">
        <f t="shared" ref="H27" si="11">F27+G27</f>
        <v>5.8100000000000005</v>
      </c>
      <c r="I27" s="63">
        <f t="shared" ref="I27" si="12">E27*H27</f>
        <v>1045.8000000000002</v>
      </c>
      <c r="J27" s="12">
        <f t="shared" si="0"/>
        <v>0.25</v>
      </c>
      <c r="K27" s="63">
        <f t="shared" ref="K27" si="13">I27*(1+J27)</f>
        <v>1307.2500000000002</v>
      </c>
      <c r="L27" s="19">
        <f t="shared" si="1"/>
        <v>2.1800529939437346E-3</v>
      </c>
      <c r="M27" s="80"/>
      <c r="N27" s="80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</row>
    <row r="28" spans="1:439" s="14" customFormat="1" x14ac:dyDescent="0.2">
      <c r="A28" s="88" t="s">
        <v>76</v>
      </c>
      <c r="B28" s="10" t="s">
        <v>362</v>
      </c>
      <c r="C28" s="93" t="s">
        <v>373</v>
      </c>
      <c r="D28" s="109" t="s">
        <v>0</v>
      </c>
      <c r="E28" s="110">
        <v>60</v>
      </c>
      <c r="F28" s="65">
        <v>6.55</v>
      </c>
      <c r="G28" s="123">
        <f>50/1000*59</f>
        <v>2.95</v>
      </c>
      <c r="H28" s="63">
        <f t="shared" si="2"/>
        <v>9.5</v>
      </c>
      <c r="I28" s="63">
        <f t="shared" si="3"/>
        <v>570</v>
      </c>
      <c r="J28" s="12">
        <f t="shared" si="0"/>
        <v>0.25</v>
      </c>
      <c r="K28" s="63">
        <f t="shared" si="4"/>
        <v>712.5</v>
      </c>
      <c r="L28" s="19">
        <f t="shared" si="1"/>
        <v>1.1882101802906182E-3</v>
      </c>
      <c r="M28" s="80"/>
      <c r="N28" s="80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</row>
    <row r="29" spans="1:439" s="14" customFormat="1" x14ac:dyDescent="0.2">
      <c r="A29" s="88" t="s">
        <v>77</v>
      </c>
      <c r="B29" s="10" t="s">
        <v>433</v>
      </c>
      <c r="C29" s="93" t="s">
        <v>374</v>
      </c>
      <c r="D29" s="109" t="s">
        <v>0</v>
      </c>
      <c r="E29" s="110">
        <v>120</v>
      </c>
      <c r="F29" s="65">
        <v>20.34</v>
      </c>
      <c r="G29" s="123">
        <f>55/1000*59</f>
        <v>3.2450000000000001</v>
      </c>
      <c r="H29" s="63">
        <f t="shared" si="2"/>
        <v>23.585000000000001</v>
      </c>
      <c r="I29" s="63">
        <f t="shared" si="3"/>
        <v>2830.2000000000003</v>
      </c>
      <c r="J29" s="12">
        <f t="shared" si="0"/>
        <v>0.25</v>
      </c>
      <c r="K29" s="63">
        <f t="shared" si="4"/>
        <v>3537.7500000000005</v>
      </c>
      <c r="L29" s="19">
        <f t="shared" si="1"/>
        <v>5.8997762320324712E-3</v>
      </c>
      <c r="M29" s="80"/>
      <c r="N29" s="80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</row>
    <row r="30" spans="1:439" s="14" customFormat="1" x14ac:dyDescent="0.2">
      <c r="A30" s="88" t="s">
        <v>77</v>
      </c>
      <c r="B30" s="10" t="s">
        <v>431</v>
      </c>
      <c r="C30" s="93" t="s">
        <v>403</v>
      </c>
      <c r="D30" s="109" t="s">
        <v>1</v>
      </c>
      <c r="E30" s="110">
        <v>15</v>
      </c>
      <c r="F30" s="65">
        <f>493.95-G30</f>
        <v>209.32</v>
      </c>
      <c r="G30" s="65">
        <v>284.63</v>
      </c>
      <c r="H30" s="63">
        <f t="shared" ref="H30" si="14">F30+G30</f>
        <v>493.95</v>
      </c>
      <c r="I30" s="63">
        <f t="shared" ref="I30" si="15">E30*H30</f>
        <v>7409.25</v>
      </c>
      <c r="J30" s="12">
        <f t="shared" si="0"/>
        <v>0.25</v>
      </c>
      <c r="K30" s="63">
        <f t="shared" ref="K30" si="16">I30*(1+J30)</f>
        <v>9261.5625</v>
      </c>
      <c r="L30" s="19">
        <f t="shared" si="1"/>
        <v>1.5445168909330287E-2</v>
      </c>
      <c r="M30" s="80"/>
      <c r="N30" s="80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</row>
    <row r="31" spans="1:439" s="14" customFormat="1" x14ac:dyDescent="0.2">
      <c r="A31" s="88" t="s">
        <v>77</v>
      </c>
      <c r="B31" s="10" t="s">
        <v>432</v>
      </c>
      <c r="C31" s="93" t="s">
        <v>402</v>
      </c>
      <c r="D31" s="109" t="s">
        <v>1</v>
      </c>
      <c r="E31" s="110">
        <v>29</v>
      </c>
      <c r="F31" s="65">
        <f>564.46-G31</f>
        <v>259.90000000000003</v>
      </c>
      <c r="G31" s="65">
        <v>304.56</v>
      </c>
      <c r="H31" s="63">
        <f t="shared" ref="H31" si="17">F31+G31</f>
        <v>564.46</v>
      </c>
      <c r="I31" s="63">
        <f t="shared" ref="I31" si="18">E31*H31</f>
        <v>16369.34</v>
      </c>
      <c r="J31" s="12">
        <f t="shared" si="0"/>
        <v>0.25</v>
      </c>
      <c r="K31" s="63">
        <f t="shared" ref="K31" si="19">I31*(1+J31)</f>
        <v>20461.674999999999</v>
      </c>
      <c r="L31" s="19">
        <f t="shared" si="1"/>
        <v>3.4123186723927071E-2</v>
      </c>
      <c r="M31" s="80"/>
      <c r="N31" s="80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</row>
    <row r="32" spans="1:439" s="14" customFormat="1" x14ac:dyDescent="0.2">
      <c r="A32" s="88" t="s">
        <v>357</v>
      </c>
      <c r="B32" s="129" t="s">
        <v>467</v>
      </c>
      <c r="C32" s="93" t="s">
        <v>375</v>
      </c>
      <c r="D32" s="109" t="s">
        <v>1</v>
      </c>
      <c r="E32" s="110">
        <v>5</v>
      </c>
      <c r="F32" s="65">
        <v>787.9</v>
      </c>
      <c r="G32" s="123">
        <f>0.5*59</f>
        <v>29.5</v>
      </c>
      <c r="H32" s="63">
        <f t="shared" ref="H32:H36" si="20">F32+G32</f>
        <v>817.4</v>
      </c>
      <c r="I32" s="63">
        <f t="shared" ref="I32:I36" si="21">E32*H32</f>
        <v>4087</v>
      </c>
      <c r="J32" s="12">
        <f t="shared" si="0"/>
        <v>0.25</v>
      </c>
      <c r="K32" s="63">
        <f t="shared" ref="K32:K36" si="22">I32*(1+J32)</f>
        <v>5108.75</v>
      </c>
      <c r="L32" s="19">
        <f t="shared" si="1"/>
        <v>8.5196754506101004E-3</v>
      </c>
      <c r="M32" s="80"/>
      <c r="N32" s="8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</row>
    <row r="33" spans="1:439" s="14" customFormat="1" x14ac:dyDescent="0.2">
      <c r="A33" s="88" t="s">
        <v>357</v>
      </c>
      <c r="B33" s="129" t="s">
        <v>467</v>
      </c>
      <c r="C33" s="93" t="s">
        <v>376</v>
      </c>
      <c r="D33" s="109" t="s">
        <v>1</v>
      </c>
      <c r="E33" s="110">
        <v>1</v>
      </c>
      <c r="F33" s="65">
        <v>787.9</v>
      </c>
      <c r="G33" s="123">
        <f>0.5*59</f>
        <v>29.5</v>
      </c>
      <c r="H33" s="63">
        <f t="shared" si="20"/>
        <v>817.4</v>
      </c>
      <c r="I33" s="63">
        <f t="shared" si="21"/>
        <v>817.4</v>
      </c>
      <c r="J33" s="12">
        <f t="shared" si="0"/>
        <v>0.25</v>
      </c>
      <c r="K33" s="63">
        <f t="shared" si="22"/>
        <v>1021.75</v>
      </c>
      <c r="L33" s="19">
        <f t="shared" si="1"/>
        <v>1.70393509012202E-3</v>
      </c>
      <c r="M33" s="80"/>
      <c r="N33" s="80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s="14" customFormat="1" x14ac:dyDescent="0.2">
      <c r="A34" s="88" t="s">
        <v>357</v>
      </c>
      <c r="B34" s="129" t="s">
        <v>440</v>
      </c>
      <c r="C34" s="93" t="s">
        <v>377</v>
      </c>
      <c r="D34" s="109" t="s">
        <v>1</v>
      </c>
      <c r="E34" s="110">
        <v>148</v>
      </c>
      <c r="F34" s="65">
        <f>117.22/4</f>
        <v>29.305</v>
      </c>
      <c r="G34" s="123"/>
      <c r="H34" s="63">
        <f t="shared" si="20"/>
        <v>29.305</v>
      </c>
      <c r="I34" s="63">
        <f t="shared" si="21"/>
        <v>4337.1400000000003</v>
      </c>
      <c r="J34" s="12">
        <f t="shared" si="0"/>
        <v>0.25</v>
      </c>
      <c r="K34" s="63">
        <f t="shared" si="22"/>
        <v>5421.4250000000002</v>
      </c>
      <c r="L34" s="19">
        <f t="shared" si="1"/>
        <v>9.0411121076239519E-3</v>
      </c>
      <c r="M34" s="80"/>
      <c r="N34" s="80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</row>
    <row r="35" spans="1:439" s="14" customFormat="1" x14ac:dyDescent="0.2">
      <c r="A35" s="88" t="s">
        <v>78</v>
      </c>
      <c r="B35" s="129" t="s">
        <v>427</v>
      </c>
      <c r="C35" s="93" t="s">
        <v>378</v>
      </c>
      <c r="D35" s="109" t="s">
        <v>1</v>
      </c>
      <c r="E35" s="110">
        <v>2</v>
      </c>
      <c r="F35" s="65">
        <f>32.19/210*190</f>
        <v>29.124285714285712</v>
      </c>
      <c r="G35" s="123"/>
      <c r="H35" s="63">
        <f t="shared" si="20"/>
        <v>29.124285714285712</v>
      </c>
      <c r="I35" s="63">
        <f t="shared" si="21"/>
        <v>58.248571428571424</v>
      </c>
      <c r="J35" s="12">
        <f t="shared" si="0"/>
        <v>0.25</v>
      </c>
      <c r="K35" s="63">
        <f t="shared" si="22"/>
        <v>72.810714285714283</v>
      </c>
      <c r="L35" s="19">
        <f t="shared" si="1"/>
        <v>1.2142376413826985E-4</v>
      </c>
      <c r="M35" s="80"/>
      <c r="N35" s="80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</row>
    <row r="36" spans="1:439" s="14" customFormat="1" x14ac:dyDescent="0.2">
      <c r="A36" s="88" t="s">
        <v>79</v>
      </c>
      <c r="B36" s="129" t="s">
        <v>427</v>
      </c>
      <c r="C36" s="93" t="s">
        <v>61</v>
      </c>
      <c r="D36" s="109" t="s">
        <v>1</v>
      </c>
      <c r="E36" s="110">
        <f>3+6</f>
        <v>9</v>
      </c>
      <c r="F36" s="65">
        <f>32.19/210*200</f>
        <v>30.657142857142855</v>
      </c>
      <c r="G36" s="123"/>
      <c r="H36" s="63">
        <f t="shared" si="20"/>
        <v>30.657142857142855</v>
      </c>
      <c r="I36" s="63">
        <f t="shared" si="21"/>
        <v>275.91428571428571</v>
      </c>
      <c r="J36" s="12">
        <f t="shared" si="0"/>
        <v>0.25</v>
      </c>
      <c r="K36" s="63">
        <f t="shared" si="22"/>
        <v>344.89285714285711</v>
      </c>
      <c r="L36" s="19">
        <f t="shared" si="1"/>
        <v>5.7516519854969924E-4</v>
      </c>
      <c r="M36" s="80"/>
      <c r="N36" s="80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</row>
    <row r="37" spans="1:439" s="14" customFormat="1" x14ac:dyDescent="0.2">
      <c r="A37" s="88" t="s">
        <v>80</v>
      </c>
      <c r="B37" s="129" t="s">
        <v>427</v>
      </c>
      <c r="C37" s="93" t="s">
        <v>62</v>
      </c>
      <c r="D37" s="109" t="s">
        <v>1</v>
      </c>
      <c r="E37" s="110">
        <v>3</v>
      </c>
      <c r="F37" s="65">
        <f>32.19/210*210</f>
        <v>32.19</v>
      </c>
      <c r="G37" s="123"/>
      <c r="H37" s="63">
        <f t="shared" ref="H37:H80" si="23">F37+G37</f>
        <v>32.19</v>
      </c>
      <c r="I37" s="63">
        <f t="shared" ref="I37:I80" si="24">E37*H37</f>
        <v>96.57</v>
      </c>
      <c r="J37" s="12">
        <f t="shared" si="0"/>
        <v>0.25</v>
      </c>
      <c r="K37" s="63">
        <f t="shared" ref="K37:K80" si="25">I37*(1+J37)</f>
        <v>120.71249999999999</v>
      </c>
      <c r="L37" s="19">
        <f t="shared" si="1"/>
        <v>2.0130781949239475E-4</v>
      </c>
      <c r="M37" s="80"/>
      <c r="N37" s="80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</row>
    <row r="38" spans="1:439" s="14" customFormat="1" x14ac:dyDescent="0.2">
      <c r="A38" s="88" t="s">
        <v>81</v>
      </c>
      <c r="B38" s="129" t="s">
        <v>427</v>
      </c>
      <c r="C38" s="93" t="s">
        <v>63</v>
      </c>
      <c r="D38" s="109" t="s">
        <v>1</v>
      </c>
      <c r="E38" s="110">
        <v>14</v>
      </c>
      <c r="F38" s="65">
        <f>32.19/210*220</f>
        <v>33.722857142857137</v>
      </c>
      <c r="G38" s="123"/>
      <c r="H38" s="63">
        <f t="shared" si="23"/>
        <v>33.722857142857137</v>
      </c>
      <c r="I38" s="63">
        <f t="shared" si="24"/>
        <v>472.11999999999989</v>
      </c>
      <c r="J38" s="12">
        <f t="shared" si="0"/>
        <v>0.25</v>
      </c>
      <c r="K38" s="63">
        <f t="shared" si="25"/>
        <v>590.14999999999986</v>
      </c>
      <c r="L38" s="19">
        <f t="shared" si="1"/>
        <v>9.8417156196281856E-4</v>
      </c>
      <c r="M38" s="80"/>
      <c r="N38" s="80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</row>
    <row r="39" spans="1:439" s="14" customFormat="1" x14ac:dyDescent="0.2">
      <c r="A39" s="88" t="s">
        <v>82</v>
      </c>
      <c r="B39" s="129" t="s">
        <v>427</v>
      </c>
      <c r="C39" s="93" t="s">
        <v>27</v>
      </c>
      <c r="D39" s="109" t="s">
        <v>1</v>
      </c>
      <c r="E39" s="110">
        <v>4</v>
      </c>
      <c r="F39" s="65">
        <f>32.19/210*240</f>
        <v>36.788571428571423</v>
      </c>
      <c r="G39" s="123"/>
      <c r="H39" s="63">
        <f t="shared" si="23"/>
        <v>36.788571428571423</v>
      </c>
      <c r="I39" s="63">
        <f t="shared" si="24"/>
        <v>147.15428571428569</v>
      </c>
      <c r="J39" s="12">
        <f t="shared" si="0"/>
        <v>0.25</v>
      </c>
      <c r="K39" s="63">
        <f t="shared" si="25"/>
        <v>183.94285714285712</v>
      </c>
      <c r="L39" s="19">
        <f t="shared" si="1"/>
        <v>3.0675477255983957E-4</v>
      </c>
      <c r="M39" s="80"/>
      <c r="N39" s="80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</row>
    <row r="40" spans="1:439" s="14" customFormat="1" x14ac:dyDescent="0.2">
      <c r="A40" s="88" t="s">
        <v>83</v>
      </c>
      <c r="B40" s="129" t="s">
        <v>427</v>
      </c>
      <c r="C40" s="93" t="s">
        <v>379</v>
      </c>
      <c r="D40" s="109" t="s">
        <v>1</v>
      </c>
      <c r="E40" s="110">
        <v>4</v>
      </c>
      <c r="F40" s="65">
        <f>32.19/210*260</f>
        <v>39.854285714285709</v>
      </c>
      <c r="G40" s="123"/>
      <c r="H40" s="63">
        <f t="shared" si="23"/>
        <v>39.854285714285709</v>
      </c>
      <c r="I40" s="63">
        <f t="shared" si="24"/>
        <v>159.41714285714284</v>
      </c>
      <c r="J40" s="12">
        <f t="shared" si="0"/>
        <v>0.25</v>
      </c>
      <c r="K40" s="63">
        <f t="shared" si="25"/>
        <v>199.27142857142854</v>
      </c>
      <c r="L40" s="19">
        <f t="shared" si="1"/>
        <v>3.3231767027315956E-4</v>
      </c>
      <c r="M40" s="80"/>
      <c r="N40" s="8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</row>
    <row r="41" spans="1:439" s="14" customFormat="1" x14ac:dyDescent="0.2">
      <c r="A41" s="88" t="s">
        <v>83</v>
      </c>
      <c r="B41" s="129" t="s">
        <v>427</v>
      </c>
      <c r="C41" s="93" t="s">
        <v>380</v>
      </c>
      <c r="D41" s="109" t="s">
        <v>1</v>
      </c>
      <c r="E41" s="110">
        <v>4</v>
      </c>
      <c r="F41" s="65">
        <f>32.19/210*280</f>
        <v>42.919999999999995</v>
      </c>
      <c r="G41" s="123"/>
      <c r="H41" s="63">
        <f t="shared" ref="H41:H42" si="26">F41+G41</f>
        <v>42.919999999999995</v>
      </c>
      <c r="I41" s="63">
        <f t="shared" ref="I41:I42" si="27">E41*H41</f>
        <v>171.67999999999998</v>
      </c>
      <c r="J41" s="12">
        <f t="shared" si="0"/>
        <v>0.25</v>
      </c>
      <c r="K41" s="63">
        <f t="shared" ref="K41:K42" si="28">I41*(1+J41)</f>
        <v>214.59999999999997</v>
      </c>
      <c r="L41" s="19">
        <f t="shared" si="1"/>
        <v>3.578805679864795E-4</v>
      </c>
      <c r="M41" s="80"/>
      <c r="N41" s="8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</row>
    <row r="42" spans="1:439" s="14" customFormat="1" x14ac:dyDescent="0.2">
      <c r="A42" s="88" t="s">
        <v>83</v>
      </c>
      <c r="B42" s="10" t="s">
        <v>326</v>
      </c>
      <c r="C42" s="93" t="s">
        <v>328</v>
      </c>
      <c r="D42" s="109" t="s">
        <v>1</v>
      </c>
      <c r="E42" s="110">
        <v>12</v>
      </c>
      <c r="F42" s="65">
        <v>6.97</v>
      </c>
      <c r="G42" s="65">
        <f t="shared" ref="G42:G52" si="29">0.5*59</f>
        <v>29.5</v>
      </c>
      <c r="H42" s="63">
        <f t="shared" si="26"/>
        <v>36.47</v>
      </c>
      <c r="I42" s="63">
        <f t="shared" si="27"/>
        <v>437.64</v>
      </c>
      <c r="J42" s="12">
        <f t="shared" si="0"/>
        <v>0.25</v>
      </c>
      <c r="K42" s="63">
        <f t="shared" si="28"/>
        <v>547.04999999999995</v>
      </c>
      <c r="L42" s="19">
        <f t="shared" si="1"/>
        <v>9.1229526895155464E-4</v>
      </c>
      <c r="M42" s="80"/>
      <c r="N42" s="8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</row>
    <row r="43" spans="1:439" s="14" customFormat="1" x14ac:dyDescent="0.2">
      <c r="A43" s="88" t="s">
        <v>84</v>
      </c>
      <c r="B43" s="10" t="s">
        <v>326</v>
      </c>
      <c r="C43" s="93" t="s">
        <v>329</v>
      </c>
      <c r="D43" s="109" t="s">
        <v>1</v>
      </c>
      <c r="E43" s="110">
        <v>3</v>
      </c>
      <c r="F43" s="65">
        <v>3.35</v>
      </c>
      <c r="G43" s="65">
        <f t="shared" si="29"/>
        <v>29.5</v>
      </c>
      <c r="H43" s="63">
        <f t="shared" si="23"/>
        <v>32.85</v>
      </c>
      <c r="I43" s="63">
        <f t="shared" si="24"/>
        <v>98.550000000000011</v>
      </c>
      <c r="J43" s="12">
        <f t="shared" si="0"/>
        <v>0.25</v>
      </c>
      <c r="K43" s="63">
        <f t="shared" si="25"/>
        <v>123.18750000000001</v>
      </c>
      <c r="L43" s="19">
        <f t="shared" si="1"/>
        <v>2.0543528643445692E-4</v>
      </c>
      <c r="M43" s="80"/>
      <c r="N43" s="80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</row>
    <row r="44" spans="1:439" s="14" customFormat="1" x14ac:dyDescent="0.2">
      <c r="A44" s="88" t="s">
        <v>85</v>
      </c>
      <c r="B44" s="10" t="s">
        <v>326</v>
      </c>
      <c r="C44" s="93" t="s">
        <v>330</v>
      </c>
      <c r="D44" s="109" t="s">
        <v>1</v>
      </c>
      <c r="E44" s="110">
        <v>6</v>
      </c>
      <c r="F44" s="65">
        <v>6.97</v>
      </c>
      <c r="G44" s="65">
        <f t="shared" si="29"/>
        <v>29.5</v>
      </c>
      <c r="H44" s="63">
        <f t="shared" si="23"/>
        <v>36.47</v>
      </c>
      <c r="I44" s="63">
        <f t="shared" si="24"/>
        <v>218.82</v>
      </c>
      <c r="J44" s="12">
        <f t="shared" si="0"/>
        <v>0.25</v>
      </c>
      <c r="K44" s="63">
        <f t="shared" si="25"/>
        <v>273.52499999999998</v>
      </c>
      <c r="L44" s="19">
        <f t="shared" si="1"/>
        <v>4.5614763447577732E-4</v>
      </c>
      <c r="M44" s="80"/>
      <c r="N44" s="8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</row>
    <row r="45" spans="1:439" s="14" customFormat="1" x14ac:dyDescent="0.2">
      <c r="A45" s="88" t="s">
        <v>86</v>
      </c>
      <c r="B45" s="10" t="s">
        <v>326</v>
      </c>
      <c r="C45" s="93" t="s">
        <v>331</v>
      </c>
      <c r="D45" s="109" t="s">
        <v>1</v>
      </c>
      <c r="E45" s="110">
        <v>7</v>
      </c>
      <c r="F45" s="65">
        <v>3.35</v>
      </c>
      <c r="G45" s="65">
        <f t="shared" si="29"/>
        <v>29.5</v>
      </c>
      <c r="H45" s="63">
        <f t="shared" si="23"/>
        <v>32.85</v>
      </c>
      <c r="I45" s="63">
        <f t="shared" si="24"/>
        <v>229.95000000000002</v>
      </c>
      <c r="J45" s="12">
        <f t="shared" si="0"/>
        <v>0.25</v>
      </c>
      <c r="K45" s="63">
        <f t="shared" si="25"/>
        <v>287.4375</v>
      </c>
      <c r="L45" s="19">
        <f t="shared" si="1"/>
        <v>4.7934900168039943E-4</v>
      </c>
      <c r="M45" s="80"/>
      <c r="N45" s="80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</row>
    <row r="46" spans="1:439" s="14" customFormat="1" x14ac:dyDescent="0.2">
      <c r="A46" s="88" t="s">
        <v>87</v>
      </c>
      <c r="B46" s="10" t="s">
        <v>326</v>
      </c>
      <c r="C46" s="93" t="s">
        <v>332</v>
      </c>
      <c r="D46" s="109" t="s">
        <v>1</v>
      </c>
      <c r="E46" s="110">
        <v>6</v>
      </c>
      <c r="F46" s="65">
        <v>3.35</v>
      </c>
      <c r="G46" s="65">
        <f t="shared" si="29"/>
        <v>29.5</v>
      </c>
      <c r="H46" s="63">
        <f t="shared" si="23"/>
        <v>32.85</v>
      </c>
      <c r="I46" s="63">
        <f t="shared" si="24"/>
        <v>197.10000000000002</v>
      </c>
      <c r="J46" s="12">
        <f t="shared" si="0"/>
        <v>0.25</v>
      </c>
      <c r="K46" s="63">
        <f t="shared" si="25"/>
        <v>246.37500000000003</v>
      </c>
      <c r="L46" s="19">
        <f t="shared" ref="L46:L76" si="30">K46/$K$118</f>
        <v>4.1087057286891385E-4</v>
      </c>
      <c r="M46" s="80"/>
      <c r="N46" s="80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</row>
    <row r="47" spans="1:439" s="14" customFormat="1" x14ac:dyDescent="0.2">
      <c r="A47" s="88" t="s">
        <v>88</v>
      </c>
      <c r="B47" s="10" t="s">
        <v>326</v>
      </c>
      <c r="C47" s="93" t="s">
        <v>333</v>
      </c>
      <c r="D47" s="109" t="s">
        <v>1</v>
      </c>
      <c r="E47" s="110">
        <v>18</v>
      </c>
      <c r="F47" s="65">
        <v>3.35</v>
      </c>
      <c r="G47" s="65">
        <f t="shared" si="29"/>
        <v>29.5</v>
      </c>
      <c r="H47" s="63">
        <f t="shared" si="23"/>
        <v>32.85</v>
      </c>
      <c r="I47" s="63">
        <f t="shared" si="24"/>
        <v>591.30000000000007</v>
      </c>
      <c r="J47" s="12">
        <f t="shared" si="0"/>
        <v>0.25</v>
      </c>
      <c r="K47" s="63">
        <f t="shared" si="25"/>
        <v>739.12500000000011</v>
      </c>
      <c r="L47" s="19">
        <f t="shared" si="30"/>
        <v>1.2326117186067416E-3</v>
      </c>
      <c r="M47" s="80"/>
      <c r="N47" s="80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</row>
    <row r="48" spans="1:439" s="14" customFormat="1" x14ac:dyDescent="0.2">
      <c r="A48" s="88" t="s">
        <v>89</v>
      </c>
      <c r="B48" s="10" t="s">
        <v>326</v>
      </c>
      <c r="C48" s="93" t="s">
        <v>334</v>
      </c>
      <c r="D48" s="109" t="s">
        <v>1</v>
      </c>
      <c r="E48" s="110">
        <f>4+28</f>
        <v>32</v>
      </c>
      <c r="F48" s="65">
        <v>2.6</v>
      </c>
      <c r="G48" s="65">
        <f t="shared" si="29"/>
        <v>29.5</v>
      </c>
      <c r="H48" s="63">
        <f t="shared" si="23"/>
        <v>32.1</v>
      </c>
      <c r="I48" s="63">
        <f t="shared" si="24"/>
        <v>1027.2</v>
      </c>
      <c r="J48" s="12">
        <f t="shared" si="0"/>
        <v>0.25</v>
      </c>
      <c r="K48" s="63">
        <f t="shared" si="25"/>
        <v>1284</v>
      </c>
      <c r="L48" s="19">
        <f t="shared" si="30"/>
        <v>2.1412798196395141E-3</v>
      </c>
      <c r="M48" s="80"/>
      <c r="N48" s="80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</row>
    <row r="49" spans="1:439" s="14" customFormat="1" x14ac:dyDescent="0.2">
      <c r="A49" s="88" t="s">
        <v>90</v>
      </c>
      <c r="B49" s="10" t="s">
        <v>326</v>
      </c>
      <c r="C49" s="93" t="s">
        <v>335</v>
      </c>
      <c r="D49" s="109" t="s">
        <v>1</v>
      </c>
      <c r="E49" s="110">
        <v>168</v>
      </c>
      <c r="F49" s="65">
        <v>3.3</v>
      </c>
      <c r="G49" s="65">
        <f t="shared" si="29"/>
        <v>29.5</v>
      </c>
      <c r="H49" s="63">
        <f t="shared" si="23"/>
        <v>32.799999999999997</v>
      </c>
      <c r="I49" s="63">
        <f t="shared" si="24"/>
        <v>5510.4</v>
      </c>
      <c r="J49" s="12">
        <f t="shared" si="0"/>
        <v>0.25</v>
      </c>
      <c r="K49" s="63">
        <f t="shared" si="25"/>
        <v>6888</v>
      </c>
      <c r="L49" s="19">
        <f t="shared" si="30"/>
        <v>1.1486865574514777E-2</v>
      </c>
      <c r="M49" s="80"/>
      <c r="N49" s="80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</row>
    <row r="50" spans="1:439" s="14" customFormat="1" x14ac:dyDescent="0.2">
      <c r="A50" s="88" t="s">
        <v>48</v>
      </c>
      <c r="B50" s="10" t="s">
        <v>326</v>
      </c>
      <c r="C50" s="93" t="s">
        <v>336</v>
      </c>
      <c r="D50" s="109" t="s">
        <v>1</v>
      </c>
      <c r="E50" s="110">
        <f>6+93</f>
        <v>99</v>
      </c>
      <c r="F50" s="65">
        <v>3.3</v>
      </c>
      <c r="G50" s="65">
        <f t="shared" si="29"/>
        <v>29.5</v>
      </c>
      <c r="H50" s="63">
        <f t="shared" si="23"/>
        <v>32.799999999999997</v>
      </c>
      <c r="I50" s="63">
        <f t="shared" si="24"/>
        <v>3247.2</v>
      </c>
      <c r="J50" s="12">
        <f t="shared" si="0"/>
        <v>0.25</v>
      </c>
      <c r="K50" s="63">
        <f t="shared" si="25"/>
        <v>4059</v>
      </c>
      <c r="L50" s="19">
        <f t="shared" si="30"/>
        <v>6.7690457849819228E-3</v>
      </c>
      <c r="M50" s="80"/>
      <c r="N50" s="80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</row>
    <row r="51" spans="1:439" s="14" customFormat="1" x14ac:dyDescent="0.2">
      <c r="A51" s="88" t="s">
        <v>49</v>
      </c>
      <c r="B51" s="10" t="s">
        <v>326</v>
      </c>
      <c r="C51" s="93" t="s">
        <v>337</v>
      </c>
      <c r="D51" s="109" t="s">
        <v>1</v>
      </c>
      <c r="E51" s="110">
        <v>16</v>
      </c>
      <c r="F51" s="65">
        <v>3.2</v>
      </c>
      <c r="G51" s="65">
        <f t="shared" si="29"/>
        <v>29.5</v>
      </c>
      <c r="H51" s="63">
        <f t="shared" si="23"/>
        <v>32.700000000000003</v>
      </c>
      <c r="I51" s="63">
        <f t="shared" si="24"/>
        <v>523.20000000000005</v>
      </c>
      <c r="J51" s="12">
        <f t="shared" si="0"/>
        <v>0.25</v>
      </c>
      <c r="K51" s="63">
        <f t="shared" si="25"/>
        <v>654</v>
      </c>
      <c r="L51" s="19">
        <f t="shared" si="30"/>
        <v>1.0906518707509676E-3</v>
      </c>
      <c r="M51" s="80"/>
      <c r="N51" s="80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</row>
    <row r="52" spans="1:439" x14ac:dyDescent="0.2">
      <c r="A52" s="88" t="s">
        <v>91</v>
      </c>
      <c r="B52" s="10" t="s">
        <v>326</v>
      </c>
      <c r="C52" s="116" t="s">
        <v>381</v>
      </c>
      <c r="D52" s="107" t="s">
        <v>1</v>
      </c>
      <c r="E52" s="140">
        <v>30</v>
      </c>
      <c r="F52" s="65">
        <v>2.84</v>
      </c>
      <c r="G52" s="65">
        <f t="shared" si="29"/>
        <v>29.5</v>
      </c>
      <c r="H52" s="63">
        <f t="shared" si="23"/>
        <v>32.340000000000003</v>
      </c>
      <c r="I52" s="63">
        <f t="shared" si="24"/>
        <v>970.2</v>
      </c>
      <c r="J52" s="12">
        <f t="shared" si="0"/>
        <v>0.25</v>
      </c>
      <c r="K52" s="63">
        <f t="shared" si="25"/>
        <v>1212.75</v>
      </c>
      <c r="L52" s="19">
        <f t="shared" si="30"/>
        <v>2.0224588016104525E-3</v>
      </c>
      <c r="M52" s="137"/>
      <c r="N52" s="137"/>
    </row>
    <row r="53" spans="1:439" s="14" customFormat="1" x14ac:dyDescent="0.2">
      <c r="A53" s="88" t="s">
        <v>92</v>
      </c>
      <c r="B53" s="10" t="s">
        <v>327</v>
      </c>
      <c r="C53" s="93" t="s">
        <v>54</v>
      </c>
      <c r="D53" s="109" t="s">
        <v>1</v>
      </c>
      <c r="E53" s="110">
        <f>2+16</f>
        <v>18</v>
      </c>
      <c r="F53" s="65">
        <v>7.26</v>
      </c>
      <c r="G53" s="65">
        <f>0.2*59</f>
        <v>11.8</v>
      </c>
      <c r="H53" s="63">
        <f t="shared" si="23"/>
        <v>19.060000000000002</v>
      </c>
      <c r="I53" s="63">
        <f t="shared" si="24"/>
        <v>343.08000000000004</v>
      </c>
      <c r="J53" s="12">
        <f t="shared" si="0"/>
        <v>0.25</v>
      </c>
      <c r="K53" s="63">
        <f t="shared" si="25"/>
        <v>428.85</v>
      </c>
      <c r="L53" s="19">
        <f t="shared" si="30"/>
        <v>7.1517745377913222E-4</v>
      </c>
      <c r="M53" s="80"/>
      <c r="N53" s="80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</row>
    <row r="54" spans="1:439" s="14" customFormat="1" x14ac:dyDescent="0.2">
      <c r="A54" s="88" t="s">
        <v>50</v>
      </c>
      <c r="B54" s="10" t="s">
        <v>327</v>
      </c>
      <c r="C54" s="93" t="s">
        <v>55</v>
      </c>
      <c r="D54" s="109" t="s">
        <v>1</v>
      </c>
      <c r="E54" s="110">
        <v>11</v>
      </c>
      <c r="F54" s="65">
        <v>9.24</v>
      </c>
      <c r="G54" s="65">
        <f>0.2*59</f>
        <v>11.8</v>
      </c>
      <c r="H54" s="63">
        <f t="shared" si="23"/>
        <v>21.04</v>
      </c>
      <c r="I54" s="63">
        <f t="shared" si="24"/>
        <v>231.44</v>
      </c>
      <c r="J54" s="12">
        <f t="shared" si="0"/>
        <v>0.25</v>
      </c>
      <c r="K54" s="63">
        <f t="shared" si="25"/>
        <v>289.3</v>
      </c>
      <c r="L54" s="19">
        <f t="shared" si="30"/>
        <v>4.8245502478326443E-4</v>
      </c>
      <c r="M54" s="80"/>
      <c r="N54" s="80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</row>
    <row r="55" spans="1:439" s="14" customFormat="1" x14ac:dyDescent="0.2">
      <c r="A55" s="88" t="s">
        <v>50</v>
      </c>
      <c r="B55" s="10" t="s">
        <v>327</v>
      </c>
      <c r="C55" s="93" t="s">
        <v>56</v>
      </c>
      <c r="D55" s="109" t="s">
        <v>1</v>
      </c>
      <c r="E55" s="110">
        <v>15</v>
      </c>
      <c r="F55" s="65">
        <v>9.24</v>
      </c>
      <c r="G55" s="65">
        <f>0.2*59</f>
        <v>11.8</v>
      </c>
      <c r="H55" s="63">
        <f t="shared" ref="H55" si="31">F55+G55</f>
        <v>21.04</v>
      </c>
      <c r="I55" s="63">
        <f t="shared" ref="I55" si="32">E55*H55</f>
        <v>315.59999999999997</v>
      </c>
      <c r="J55" s="12">
        <f t="shared" si="0"/>
        <v>0.25</v>
      </c>
      <c r="K55" s="63">
        <f t="shared" ref="K55" si="33">I55*(1+J55)</f>
        <v>394.49999999999994</v>
      </c>
      <c r="L55" s="19">
        <f t="shared" si="30"/>
        <v>6.5789321561354221E-4</v>
      </c>
      <c r="M55" s="80"/>
      <c r="N55" s="80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</row>
    <row r="56" spans="1:439" s="14" customFormat="1" x14ac:dyDescent="0.2">
      <c r="A56" s="88" t="s">
        <v>93</v>
      </c>
      <c r="B56" s="10" t="s">
        <v>338</v>
      </c>
      <c r="C56" s="93" t="s">
        <v>382</v>
      </c>
      <c r="D56" s="109" t="s">
        <v>1</v>
      </c>
      <c r="E56" s="110">
        <v>1</v>
      </c>
      <c r="F56" s="65">
        <v>27.35</v>
      </c>
      <c r="G56" s="65">
        <v>3.23</v>
      </c>
      <c r="H56" s="63">
        <f t="shared" si="23"/>
        <v>30.580000000000002</v>
      </c>
      <c r="I56" s="63">
        <f t="shared" si="24"/>
        <v>30.580000000000002</v>
      </c>
      <c r="J56" s="12">
        <f t="shared" si="0"/>
        <v>0.25</v>
      </c>
      <c r="K56" s="63">
        <f t="shared" si="25"/>
        <v>38.225000000000001</v>
      </c>
      <c r="L56" s="19">
        <f t="shared" si="30"/>
        <v>6.3746433882959843E-5</v>
      </c>
      <c r="M56" s="80"/>
      <c r="N56" s="80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</row>
    <row r="57" spans="1:439" s="14" customFormat="1" x14ac:dyDescent="0.2">
      <c r="A57" s="88" t="s">
        <v>94</v>
      </c>
      <c r="B57" s="10" t="s">
        <v>434</v>
      </c>
      <c r="C57" s="93" t="s">
        <v>383</v>
      </c>
      <c r="D57" s="109" t="s">
        <v>1</v>
      </c>
      <c r="E57" s="110">
        <v>12</v>
      </c>
      <c r="F57" s="65">
        <v>24.8</v>
      </c>
      <c r="G57" s="65"/>
      <c r="H57" s="63">
        <f t="shared" si="23"/>
        <v>24.8</v>
      </c>
      <c r="I57" s="63">
        <f t="shared" si="24"/>
        <v>297.60000000000002</v>
      </c>
      <c r="J57" s="12">
        <f t="shared" si="0"/>
        <v>0.25</v>
      </c>
      <c r="K57" s="63">
        <f t="shared" si="25"/>
        <v>372</v>
      </c>
      <c r="L57" s="19">
        <f t="shared" si="30"/>
        <v>6.2037078886752282E-4</v>
      </c>
      <c r="M57" s="80"/>
      <c r="N57" s="80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</row>
    <row r="58" spans="1:439" s="14" customFormat="1" x14ac:dyDescent="0.2">
      <c r="A58" s="88" t="s">
        <v>95</v>
      </c>
      <c r="B58" s="10" t="s">
        <v>435</v>
      </c>
      <c r="C58" s="93" t="s">
        <v>384</v>
      </c>
      <c r="D58" s="109" t="s">
        <v>0</v>
      </c>
      <c r="E58" s="110">
        <v>740</v>
      </c>
      <c r="F58" s="65">
        <v>7.23</v>
      </c>
      <c r="G58" s="65">
        <v>19.72</v>
      </c>
      <c r="H58" s="63">
        <f t="shared" si="23"/>
        <v>26.95</v>
      </c>
      <c r="I58" s="63">
        <f t="shared" si="24"/>
        <v>19943</v>
      </c>
      <c r="J58" s="12">
        <f t="shared" si="0"/>
        <v>0.25</v>
      </c>
      <c r="K58" s="63">
        <f t="shared" si="25"/>
        <v>24928.75</v>
      </c>
      <c r="L58" s="19">
        <f t="shared" si="30"/>
        <v>4.1572764255325967E-2</v>
      </c>
      <c r="M58" s="80"/>
      <c r="N58" s="80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</row>
    <row r="59" spans="1:439" s="14" customFormat="1" x14ac:dyDescent="0.2">
      <c r="A59" s="88" t="s">
        <v>96</v>
      </c>
      <c r="B59" s="10" t="s">
        <v>32</v>
      </c>
      <c r="C59" s="93" t="s">
        <v>385</v>
      </c>
      <c r="D59" s="109" t="s">
        <v>18</v>
      </c>
      <c r="E59" s="110">
        <v>2</v>
      </c>
      <c r="F59" s="65">
        <v>32.24</v>
      </c>
      <c r="G59" s="65"/>
      <c r="H59" s="63">
        <f t="shared" si="23"/>
        <v>32.24</v>
      </c>
      <c r="I59" s="63">
        <f t="shared" si="24"/>
        <v>64.48</v>
      </c>
      <c r="J59" s="12">
        <f t="shared" si="0"/>
        <v>0.25</v>
      </c>
      <c r="K59" s="63">
        <f t="shared" si="25"/>
        <v>80.600000000000009</v>
      </c>
      <c r="L59" s="19">
        <f t="shared" si="30"/>
        <v>1.3441367092129663E-4</v>
      </c>
      <c r="M59" s="80"/>
      <c r="N59" s="8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</row>
    <row r="60" spans="1:439" s="14" customFormat="1" x14ac:dyDescent="0.2">
      <c r="A60" s="88" t="s">
        <v>97</v>
      </c>
      <c r="B60" s="10" t="s">
        <v>340</v>
      </c>
      <c r="C60" s="93" t="s">
        <v>339</v>
      </c>
      <c r="D60" s="109" t="s">
        <v>0</v>
      </c>
      <c r="E60" s="110">
        <f>580+580</f>
        <v>1160</v>
      </c>
      <c r="F60" s="65">
        <v>1.62</v>
      </c>
      <c r="G60" s="65">
        <v>1.18</v>
      </c>
      <c r="H60" s="63">
        <f t="shared" si="23"/>
        <v>2.8</v>
      </c>
      <c r="I60" s="63">
        <f t="shared" si="24"/>
        <v>3248</v>
      </c>
      <c r="J60" s="12">
        <f t="shared" si="0"/>
        <v>0.25</v>
      </c>
      <c r="K60" s="63">
        <f t="shared" si="25"/>
        <v>4060</v>
      </c>
      <c r="L60" s="19">
        <f t="shared" si="30"/>
        <v>6.770713448392857E-3</v>
      </c>
      <c r="M60" s="80"/>
      <c r="N60" s="8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</row>
    <row r="61" spans="1:439" s="14" customFormat="1" x14ac:dyDescent="0.2">
      <c r="A61" s="88" t="s">
        <v>98</v>
      </c>
      <c r="B61" s="129" t="s">
        <v>36</v>
      </c>
      <c r="C61" s="93" t="s">
        <v>405</v>
      </c>
      <c r="D61" s="109" t="s">
        <v>1</v>
      </c>
      <c r="E61" s="102">
        <f>2+30</f>
        <v>32</v>
      </c>
      <c r="F61" s="63">
        <v>12.04</v>
      </c>
      <c r="G61" s="63"/>
      <c r="H61" s="63">
        <f t="shared" si="23"/>
        <v>12.04</v>
      </c>
      <c r="I61" s="63">
        <f t="shared" si="24"/>
        <v>385.28</v>
      </c>
      <c r="J61" s="12">
        <f t="shared" si="0"/>
        <v>0.25</v>
      </c>
      <c r="K61" s="63">
        <f t="shared" si="25"/>
        <v>481.59999999999997</v>
      </c>
      <c r="L61" s="19">
        <f t="shared" si="30"/>
        <v>8.0314669870591119E-4</v>
      </c>
      <c r="M61" s="80"/>
      <c r="N61" s="8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</row>
    <row r="62" spans="1:439" s="14" customFormat="1" x14ac:dyDescent="0.2">
      <c r="A62" s="88" t="s">
        <v>99</v>
      </c>
      <c r="B62" s="129" t="s">
        <v>37</v>
      </c>
      <c r="C62" s="93" t="s">
        <v>38</v>
      </c>
      <c r="D62" s="109" t="s">
        <v>1</v>
      </c>
      <c r="E62" s="102">
        <f>1+10</f>
        <v>11</v>
      </c>
      <c r="F62" s="63">
        <f>1.64*5</f>
        <v>8.1999999999999993</v>
      </c>
      <c r="G62" s="63"/>
      <c r="H62" s="63">
        <f t="shared" ref="H62:H63" si="34">F62+G62</f>
        <v>8.1999999999999993</v>
      </c>
      <c r="I62" s="63">
        <f t="shared" ref="I62:I63" si="35">E62*H62</f>
        <v>90.199999999999989</v>
      </c>
      <c r="J62" s="12">
        <f t="shared" si="0"/>
        <v>0.25</v>
      </c>
      <c r="K62" s="63">
        <f t="shared" ref="K62:K63" si="36">I62*(1+J62)</f>
        <v>112.74999999999999</v>
      </c>
      <c r="L62" s="19">
        <f t="shared" si="30"/>
        <v>1.8802904958283115E-4</v>
      </c>
      <c r="M62" s="80"/>
      <c r="N62" s="8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</row>
    <row r="63" spans="1:439" s="14" customFormat="1" x14ac:dyDescent="0.2">
      <c r="A63" s="88" t="s">
        <v>99</v>
      </c>
      <c r="B63" s="10" t="s">
        <v>441</v>
      </c>
      <c r="C63" s="138" t="s">
        <v>386</v>
      </c>
      <c r="D63" s="109" t="s">
        <v>18</v>
      </c>
      <c r="E63" s="110">
        <v>1</v>
      </c>
      <c r="F63" s="65">
        <v>44.56</v>
      </c>
      <c r="G63" s="65"/>
      <c r="H63" s="63">
        <f t="shared" si="34"/>
        <v>44.56</v>
      </c>
      <c r="I63" s="63">
        <f t="shared" si="35"/>
        <v>44.56</v>
      </c>
      <c r="J63" s="12">
        <f t="shared" si="0"/>
        <v>0.25</v>
      </c>
      <c r="K63" s="63">
        <f t="shared" si="36"/>
        <v>55.7</v>
      </c>
      <c r="L63" s="19">
        <f t="shared" si="30"/>
        <v>9.2888851989035009E-5</v>
      </c>
      <c r="M63" s="80"/>
      <c r="N63" s="80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</row>
    <row r="64" spans="1:439" s="14" customFormat="1" x14ac:dyDescent="0.2">
      <c r="A64" s="88" t="s">
        <v>99</v>
      </c>
      <c r="B64" s="10" t="s">
        <v>32</v>
      </c>
      <c r="C64" s="93" t="s">
        <v>57</v>
      </c>
      <c r="D64" s="109" t="s">
        <v>387</v>
      </c>
      <c r="E64" s="110">
        <v>1</v>
      </c>
      <c r="F64" s="65">
        <f>155.87</f>
        <v>155.87</v>
      </c>
      <c r="G64" s="65"/>
      <c r="H64" s="63">
        <f t="shared" si="23"/>
        <v>155.87</v>
      </c>
      <c r="I64" s="63">
        <f t="shared" si="24"/>
        <v>155.87</v>
      </c>
      <c r="J64" s="12">
        <f t="shared" si="0"/>
        <v>0.25</v>
      </c>
      <c r="K64" s="63">
        <f t="shared" si="25"/>
        <v>194.83750000000001</v>
      </c>
      <c r="L64" s="19">
        <f t="shared" si="30"/>
        <v>3.249233698278924E-4</v>
      </c>
      <c r="M64" s="80"/>
      <c r="N64" s="80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</row>
    <row r="65" spans="1:439" s="14" customFormat="1" x14ac:dyDescent="0.2">
      <c r="A65" s="88" t="s">
        <v>100</v>
      </c>
      <c r="B65" s="129" t="s">
        <v>39</v>
      </c>
      <c r="C65" s="93" t="s">
        <v>51</v>
      </c>
      <c r="D65" s="109" t="s">
        <v>1</v>
      </c>
      <c r="E65" s="102">
        <f>4+28</f>
        <v>32</v>
      </c>
      <c r="F65" s="63">
        <v>40.130000000000003</v>
      </c>
      <c r="G65" s="63">
        <v>9.9499999999999993</v>
      </c>
      <c r="H65" s="63">
        <f t="shared" ref="H65" si="37">F65+G65</f>
        <v>50.08</v>
      </c>
      <c r="I65" s="63">
        <f t="shared" ref="I65" si="38">E65*H65</f>
        <v>1602.56</v>
      </c>
      <c r="J65" s="12">
        <f t="shared" si="0"/>
        <v>0.25</v>
      </c>
      <c r="K65" s="63">
        <f t="shared" ref="K65" si="39">I65*(1+J65)</f>
        <v>2003.1999999999998</v>
      </c>
      <c r="L65" s="19">
        <f t="shared" si="30"/>
        <v>3.3406633447833913E-3</v>
      </c>
      <c r="M65" s="80"/>
      <c r="N65" s="80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</row>
    <row r="66" spans="1:439" s="14" customFormat="1" x14ac:dyDescent="0.2">
      <c r="A66" s="88" t="s">
        <v>101</v>
      </c>
      <c r="B66" s="141" t="s">
        <v>348</v>
      </c>
      <c r="C66" s="15" t="s">
        <v>413</v>
      </c>
      <c r="D66" s="142" t="s">
        <v>324</v>
      </c>
      <c r="E66" s="102">
        <f>14*0.7</f>
        <v>9.7999999999999989</v>
      </c>
      <c r="F66" s="65"/>
      <c r="G66" s="65">
        <v>59</v>
      </c>
      <c r="H66" s="63">
        <f t="shared" si="23"/>
        <v>59</v>
      </c>
      <c r="I66" s="63">
        <f t="shared" si="24"/>
        <v>578.19999999999993</v>
      </c>
      <c r="J66" s="12">
        <f t="shared" si="0"/>
        <v>0.25</v>
      </c>
      <c r="K66" s="63">
        <f t="shared" si="25"/>
        <v>722.74999999999989</v>
      </c>
      <c r="L66" s="19">
        <f t="shared" si="30"/>
        <v>1.2053037302526936E-3</v>
      </c>
      <c r="M66" s="80"/>
      <c r="N66" s="80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</row>
    <row r="67" spans="1:439" s="14" customFormat="1" x14ac:dyDescent="0.2">
      <c r="A67" s="88" t="s">
        <v>358</v>
      </c>
      <c r="B67" s="141" t="s">
        <v>409</v>
      </c>
      <c r="C67" s="15" t="s">
        <v>412</v>
      </c>
      <c r="D67" s="142" t="s">
        <v>324</v>
      </c>
      <c r="E67" s="102">
        <f>16*5</f>
        <v>80</v>
      </c>
      <c r="F67" s="65"/>
      <c r="G67" s="65">
        <v>59</v>
      </c>
      <c r="H67" s="63">
        <f t="shared" si="23"/>
        <v>59</v>
      </c>
      <c r="I67" s="63">
        <f t="shared" si="24"/>
        <v>4720</v>
      </c>
      <c r="J67" s="12">
        <f t="shared" si="0"/>
        <v>0.25</v>
      </c>
      <c r="K67" s="63">
        <f t="shared" si="25"/>
        <v>5900</v>
      </c>
      <c r="L67" s="19">
        <f t="shared" si="30"/>
        <v>9.8392141245117869E-3</v>
      </c>
      <c r="M67" s="80"/>
      <c r="N67" s="80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</row>
    <row r="68" spans="1:439" s="14" customFormat="1" x14ac:dyDescent="0.2">
      <c r="A68" s="88" t="s">
        <v>102</v>
      </c>
      <c r="B68" s="141" t="s">
        <v>404</v>
      </c>
      <c r="C68" s="15" t="s">
        <v>411</v>
      </c>
      <c r="D68" s="142" t="s">
        <v>324</v>
      </c>
      <c r="E68" s="102">
        <v>13</v>
      </c>
      <c r="F68" s="65"/>
      <c r="G68" s="65">
        <v>59</v>
      </c>
      <c r="H68" s="63">
        <f t="shared" ref="H68" si="40">F68+G68</f>
        <v>59</v>
      </c>
      <c r="I68" s="63">
        <f t="shared" ref="I68" si="41">E68*H68</f>
        <v>767</v>
      </c>
      <c r="J68" s="12">
        <f t="shared" si="0"/>
        <v>0.25</v>
      </c>
      <c r="K68" s="63">
        <f t="shared" ref="K68" si="42">I68*(1+J68)</f>
        <v>958.75</v>
      </c>
      <c r="L68" s="19">
        <f t="shared" si="30"/>
        <v>1.5988722952331653E-3</v>
      </c>
      <c r="M68" s="80"/>
      <c r="N68" s="80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</row>
    <row r="69" spans="1:439" s="14" customFormat="1" x14ac:dyDescent="0.2">
      <c r="A69" s="88" t="s">
        <v>102</v>
      </c>
      <c r="B69" s="141" t="s">
        <v>436</v>
      </c>
      <c r="C69" s="93" t="s">
        <v>406</v>
      </c>
      <c r="D69" s="143" t="s">
        <v>324</v>
      </c>
      <c r="E69" s="110">
        <f>50*0.8</f>
        <v>40</v>
      </c>
      <c r="F69" s="65"/>
      <c r="G69" s="65">
        <v>59</v>
      </c>
      <c r="H69" s="63">
        <f t="shared" si="23"/>
        <v>59</v>
      </c>
      <c r="I69" s="63">
        <f t="shared" si="24"/>
        <v>2360</v>
      </c>
      <c r="J69" s="12">
        <f t="shared" si="0"/>
        <v>0.25</v>
      </c>
      <c r="K69" s="63">
        <f t="shared" si="25"/>
        <v>2950</v>
      </c>
      <c r="L69" s="19">
        <f t="shared" si="30"/>
        <v>4.9196070622558935E-3</v>
      </c>
      <c r="M69" s="80"/>
      <c r="N69" s="80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</row>
    <row r="70" spans="1:439" s="14" customFormat="1" x14ac:dyDescent="0.2">
      <c r="A70" s="88" t="s">
        <v>103</v>
      </c>
      <c r="B70" s="141" t="s">
        <v>407</v>
      </c>
      <c r="C70" s="93" t="s">
        <v>408</v>
      </c>
      <c r="D70" s="143" t="s">
        <v>324</v>
      </c>
      <c r="E70" s="110">
        <f>0.12*55</f>
        <v>6.6</v>
      </c>
      <c r="F70" s="65"/>
      <c r="G70" s="65">
        <v>59</v>
      </c>
      <c r="H70" s="63">
        <f t="shared" si="23"/>
        <v>59</v>
      </c>
      <c r="I70" s="63">
        <f t="shared" si="24"/>
        <v>389.4</v>
      </c>
      <c r="J70" s="12">
        <f t="shared" si="0"/>
        <v>0.25</v>
      </c>
      <c r="K70" s="63">
        <f t="shared" si="25"/>
        <v>486.75</v>
      </c>
      <c r="L70" s="19">
        <f t="shared" si="30"/>
        <v>8.117351652722224E-4</v>
      </c>
      <c r="M70" s="80"/>
      <c r="N70" s="80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</row>
    <row r="71" spans="1:439" s="14" customFormat="1" ht="63.75" x14ac:dyDescent="0.2">
      <c r="A71" s="88" t="s">
        <v>104</v>
      </c>
      <c r="B71" s="144" t="s">
        <v>341</v>
      </c>
      <c r="C71" s="93" t="s">
        <v>470</v>
      </c>
      <c r="D71" s="143" t="s">
        <v>1</v>
      </c>
      <c r="E71" s="110">
        <v>73</v>
      </c>
      <c r="F71" s="145">
        <v>816</v>
      </c>
      <c r="G71" s="145">
        <f>4.5*59</f>
        <v>265.5</v>
      </c>
      <c r="H71" s="146">
        <f t="shared" ref="H71" si="43">F71+G71</f>
        <v>1081.5</v>
      </c>
      <c r="I71" s="146">
        <f t="shared" ref="I71" si="44">E71*H71</f>
        <v>78949.5</v>
      </c>
      <c r="J71" s="147">
        <f t="shared" si="0"/>
        <v>0.25</v>
      </c>
      <c r="K71" s="146">
        <f t="shared" ref="K71" si="45">I71*(1+J71)</f>
        <v>98686.875</v>
      </c>
      <c r="L71" s="148">
        <f t="shared" si="30"/>
        <v>0.16457649057693713</v>
      </c>
      <c r="M71" s="80"/>
      <c r="N71" s="80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</row>
    <row r="72" spans="1:439" s="14" customFormat="1" ht="63.75" x14ac:dyDescent="0.2">
      <c r="A72" s="88" t="s">
        <v>104</v>
      </c>
      <c r="B72" s="15" t="s">
        <v>341</v>
      </c>
      <c r="C72" s="93" t="s">
        <v>471</v>
      </c>
      <c r="D72" s="109" t="s">
        <v>1</v>
      </c>
      <c r="E72" s="110">
        <v>108</v>
      </c>
      <c r="F72" s="145">
        <v>828</v>
      </c>
      <c r="G72" s="145">
        <f>4.5*59</f>
        <v>265.5</v>
      </c>
      <c r="H72" s="146">
        <f t="shared" si="23"/>
        <v>1093.5</v>
      </c>
      <c r="I72" s="146">
        <f t="shared" si="24"/>
        <v>118098</v>
      </c>
      <c r="J72" s="147">
        <f t="shared" si="0"/>
        <v>0.25</v>
      </c>
      <c r="K72" s="146">
        <f t="shared" si="25"/>
        <v>147622.5</v>
      </c>
      <c r="L72" s="148">
        <f t="shared" si="30"/>
        <v>0.2461846418806341</v>
      </c>
      <c r="M72" s="80"/>
      <c r="N72" s="80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</row>
    <row r="73" spans="1:439" s="14" customFormat="1" x14ac:dyDescent="0.2">
      <c r="A73" s="88" t="s">
        <v>105</v>
      </c>
      <c r="B73" s="10" t="s">
        <v>437</v>
      </c>
      <c r="C73" s="93" t="s">
        <v>389</v>
      </c>
      <c r="D73" s="109" t="s">
        <v>1</v>
      </c>
      <c r="E73" s="110">
        <v>12</v>
      </c>
      <c r="F73" s="65">
        <v>7.02</v>
      </c>
      <c r="G73" s="65"/>
      <c r="H73" s="63">
        <f t="shared" si="23"/>
        <v>7.02</v>
      </c>
      <c r="I73" s="63">
        <f t="shared" si="24"/>
        <v>84.24</v>
      </c>
      <c r="J73" s="12">
        <f t="shared" si="0"/>
        <v>0.25</v>
      </c>
      <c r="K73" s="63">
        <f t="shared" si="25"/>
        <v>105.3</v>
      </c>
      <c r="L73" s="19">
        <f t="shared" si="30"/>
        <v>1.7560495717137137E-4</v>
      </c>
      <c r="M73" s="80"/>
      <c r="N73" s="80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</row>
    <row r="74" spans="1:439" x14ac:dyDescent="0.2">
      <c r="A74" s="88" t="s">
        <v>132</v>
      </c>
      <c r="B74" s="127" t="s">
        <v>438</v>
      </c>
      <c r="C74" s="93" t="s">
        <v>390</v>
      </c>
      <c r="D74" s="109" t="s">
        <v>1</v>
      </c>
      <c r="E74" s="110">
        <v>20</v>
      </c>
      <c r="F74" s="65">
        <v>5.24</v>
      </c>
      <c r="G74" s="65"/>
      <c r="H74" s="63">
        <f>F74+G74</f>
        <v>5.24</v>
      </c>
      <c r="I74" s="63">
        <f>E74*H74</f>
        <v>104.80000000000001</v>
      </c>
      <c r="J74" s="12">
        <f t="shared" si="0"/>
        <v>0.25</v>
      </c>
      <c r="K74" s="63">
        <f>I74*(1+J74)</f>
        <v>131</v>
      </c>
      <c r="L74" s="19">
        <f t="shared" si="30"/>
        <v>2.1846390683238036E-4</v>
      </c>
      <c r="M74" s="137"/>
      <c r="N74" s="137"/>
    </row>
    <row r="75" spans="1:439" x14ac:dyDescent="0.2">
      <c r="A75" s="88" t="s">
        <v>132</v>
      </c>
      <c r="B75" s="127" t="s">
        <v>345</v>
      </c>
      <c r="C75" s="93" t="s">
        <v>58</v>
      </c>
      <c r="D75" s="109" t="s">
        <v>1</v>
      </c>
      <c r="E75" s="110">
        <v>6</v>
      </c>
      <c r="F75" s="65">
        <v>8</v>
      </c>
      <c r="G75" s="65">
        <f>0.5*59</f>
        <v>29.5</v>
      </c>
      <c r="H75" s="63">
        <f>F75+G75</f>
        <v>37.5</v>
      </c>
      <c r="I75" s="63">
        <f>E75*H75</f>
        <v>225</v>
      </c>
      <c r="J75" s="12">
        <f t="shared" si="0"/>
        <v>0.25</v>
      </c>
      <c r="K75" s="63">
        <f>I75*(1+J75)</f>
        <v>281.25</v>
      </c>
      <c r="L75" s="19">
        <f t="shared" si="30"/>
        <v>4.6903033432524408E-4</v>
      </c>
      <c r="M75" s="137"/>
      <c r="N75" s="137"/>
    </row>
    <row r="76" spans="1:439" x14ac:dyDescent="0.2">
      <c r="A76" s="88" t="s">
        <v>132</v>
      </c>
      <c r="B76" s="127" t="s">
        <v>32</v>
      </c>
      <c r="C76" s="97" t="s">
        <v>392</v>
      </c>
      <c r="D76" s="109" t="s">
        <v>1</v>
      </c>
      <c r="E76" s="110">
        <v>32</v>
      </c>
      <c r="F76" s="65">
        <v>2.9</v>
      </c>
      <c r="G76" s="65"/>
      <c r="H76" s="63">
        <f t="shared" si="23"/>
        <v>2.9</v>
      </c>
      <c r="I76" s="63">
        <f t="shared" si="24"/>
        <v>92.8</v>
      </c>
      <c r="J76" s="12">
        <f t="shared" si="0"/>
        <v>0.25</v>
      </c>
      <c r="K76" s="63">
        <f t="shared" si="25"/>
        <v>116</v>
      </c>
      <c r="L76" s="19">
        <f t="shared" si="30"/>
        <v>1.9344895566836734E-4</v>
      </c>
      <c r="M76" s="137"/>
      <c r="N76" s="137"/>
    </row>
    <row r="77" spans="1:439" s="14" customFormat="1" x14ac:dyDescent="0.2">
      <c r="A77" s="88" t="s">
        <v>106</v>
      </c>
      <c r="B77" s="10" t="s">
        <v>32</v>
      </c>
      <c r="C77" s="93" t="s">
        <v>342</v>
      </c>
      <c r="D77" s="109" t="s">
        <v>1</v>
      </c>
      <c r="E77" s="110">
        <v>26</v>
      </c>
      <c r="F77" s="65">
        <v>5</v>
      </c>
      <c r="G77" s="65"/>
      <c r="H77" s="63">
        <f t="shared" ref="H77" si="46">F77+G77</f>
        <v>5</v>
      </c>
      <c r="I77" s="63">
        <f t="shared" ref="I77" si="47">E77*H77</f>
        <v>130</v>
      </c>
      <c r="J77" s="12">
        <f t="shared" si="0"/>
        <v>0.25</v>
      </c>
      <c r="K77" s="63">
        <f t="shared" ref="K77" si="48">I77*(1+J77)</f>
        <v>162.5</v>
      </c>
      <c r="L77" s="19">
        <f t="shared" ref="L77:L108" si="49">K77/$K$118</f>
        <v>2.7099530427680769E-4</v>
      </c>
      <c r="M77" s="80"/>
      <c r="N77" s="80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</row>
    <row r="78" spans="1:439" s="14" customFormat="1" x14ac:dyDescent="0.2">
      <c r="A78" s="88" t="s">
        <v>106</v>
      </c>
      <c r="B78" s="127" t="s">
        <v>32</v>
      </c>
      <c r="C78" s="93" t="s">
        <v>343</v>
      </c>
      <c r="D78" s="109" t="s">
        <v>1</v>
      </c>
      <c r="E78" s="110">
        <f>12+20</f>
        <v>32</v>
      </c>
      <c r="F78" s="65">
        <v>5.7</v>
      </c>
      <c r="G78" s="65"/>
      <c r="H78" s="63">
        <f t="shared" ref="H78" si="50">F78+G78</f>
        <v>5.7</v>
      </c>
      <c r="I78" s="63">
        <f t="shared" ref="I78" si="51">E78*H78</f>
        <v>182.4</v>
      </c>
      <c r="J78" s="12">
        <f t="shared" si="0"/>
        <v>0.25</v>
      </c>
      <c r="K78" s="63">
        <f t="shared" ref="K78" si="52">I78*(1+J78)</f>
        <v>228</v>
      </c>
      <c r="L78" s="19">
        <f t="shared" si="49"/>
        <v>3.8022725769299787E-4</v>
      </c>
      <c r="M78" s="80"/>
      <c r="N78" s="80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</row>
    <row r="79" spans="1:439" s="14" customFormat="1" x14ac:dyDescent="0.2">
      <c r="A79" s="88" t="s">
        <v>106</v>
      </c>
      <c r="B79" s="10" t="s">
        <v>32</v>
      </c>
      <c r="C79" s="93" t="s">
        <v>344</v>
      </c>
      <c r="D79" s="109" t="s">
        <v>1</v>
      </c>
      <c r="E79" s="110">
        <v>10</v>
      </c>
      <c r="F79" s="65">
        <v>7.1</v>
      </c>
      <c r="G79" s="65"/>
      <c r="H79" s="63">
        <f t="shared" ref="H79" si="53">F79+G79</f>
        <v>7.1</v>
      </c>
      <c r="I79" s="63">
        <f t="shared" ref="I79" si="54">E79*H79</f>
        <v>71</v>
      </c>
      <c r="J79" s="12">
        <f t="shared" si="0"/>
        <v>0.25</v>
      </c>
      <c r="K79" s="63">
        <f t="shared" ref="K79" si="55">I79*(1+J79)</f>
        <v>88.75</v>
      </c>
      <c r="L79" s="19">
        <f t="shared" si="49"/>
        <v>1.4800512772041036E-4</v>
      </c>
      <c r="M79" s="80"/>
      <c r="N79" s="80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</row>
    <row r="80" spans="1:439" x14ac:dyDescent="0.2">
      <c r="A80" s="88" t="s">
        <v>106</v>
      </c>
      <c r="B80" s="10" t="s">
        <v>439</v>
      </c>
      <c r="C80" s="15" t="s">
        <v>391</v>
      </c>
      <c r="D80" s="20" t="s">
        <v>1</v>
      </c>
      <c r="E80" s="102">
        <v>6</v>
      </c>
      <c r="F80" s="65">
        <v>75.209999999999994</v>
      </c>
      <c r="G80" s="65">
        <f>59</f>
        <v>59</v>
      </c>
      <c r="H80" s="63">
        <f t="shared" si="23"/>
        <v>134.20999999999998</v>
      </c>
      <c r="I80" s="63">
        <f t="shared" si="24"/>
        <v>805.25999999999988</v>
      </c>
      <c r="J80" s="12">
        <f t="shared" si="0"/>
        <v>0.25</v>
      </c>
      <c r="K80" s="63">
        <f t="shared" si="25"/>
        <v>1006.5749999999998</v>
      </c>
      <c r="L80" s="19">
        <f t="shared" si="49"/>
        <v>1.6786282978610931E-3</v>
      </c>
      <c r="M80" s="137"/>
      <c r="N80" s="137"/>
    </row>
    <row r="81" spans="1:439" s="14" customFormat="1" x14ac:dyDescent="0.2">
      <c r="A81" s="88" t="s">
        <v>107</v>
      </c>
      <c r="B81" s="10" t="s">
        <v>442</v>
      </c>
      <c r="C81" s="138" t="s">
        <v>393</v>
      </c>
      <c r="D81" s="109" t="s">
        <v>1</v>
      </c>
      <c r="E81" s="110">
        <v>1</v>
      </c>
      <c r="F81" s="65">
        <v>1168.1400000000001</v>
      </c>
      <c r="G81" s="65">
        <f>5*59</f>
        <v>295</v>
      </c>
      <c r="H81" s="63">
        <f>F81+G81</f>
        <v>1463.14</v>
      </c>
      <c r="I81" s="63">
        <f>E81*H81</f>
        <v>1463.14</v>
      </c>
      <c r="J81" s="12">
        <f t="shared" si="0"/>
        <v>0.25</v>
      </c>
      <c r="K81" s="63">
        <f>I81*(1+J81)</f>
        <v>1828.9250000000002</v>
      </c>
      <c r="L81" s="19">
        <f t="shared" si="49"/>
        <v>3.0500313038428341E-3</v>
      </c>
      <c r="M81" s="80"/>
      <c r="N81" s="80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</row>
    <row r="82" spans="1:439" x14ac:dyDescent="0.2">
      <c r="A82" s="88" t="s">
        <v>107</v>
      </c>
      <c r="B82" s="10" t="s">
        <v>443</v>
      </c>
      <c r="C82" s="96" t="s">
        <v>395</v>
      </c>
      <c r="D82" s="107" t="s">
        <v>1</v>
      </c>
      <c r="E82" s="140">
        <v>15</v>
      </c>
      <c r="F82" s="65">
        <v>740.21</v>
      </c>
      <c r="G82" s="65">
        <f>5*59</f>
        <v>295</v>
      </c>
      <c r="H82" s="63">
        <f>F82+G82</f>
        <v>1035.21</v>
      </c>
      <c r="I82" s="63">
        <f>E82*H82</f>
        <v>15528.150000000001</v>
      </c>
      <c r="J82" s="12">
        <f t="shared" si="0"/>
        <v>0.25</v>
      </c>
      <c r="K82" s="63">
        <f>I82*(1+J82)</f>
        <v>19410.1875</v>
      </c>
      <c r="L82" s="19">
        <f t="shared" si="49"/>
        <v>3.2369659493122392E-2</v>
      </c>
      <c r="M82" s="137"/>
      <c r="N82" s="137"/>
    </row>
    <row r="83" spans="1:439" x14ac:dyDescent="0.2">
      <c r="A83" s="88" t="s">
        <v>108</v>
      </c>
      <c r="B83" s="10" t="s">
        <v>444</v>
      </c>
      <c r="C83" s="96" t="s">
        <v>394</v>
      </c>
      <c r="D83" s="107" t="s">
        <v>1</v>
      </c>
      <c r="E83" s="140">
        <v>21</v>
      </c>
      <c r="F83" s="65">
        <v>992.05</v>
      </c>
      <c r="G83" s="65">
        <f>5*59</f>
        <v>295</v>
      </c>
      <c r="H83" s="63">
        <f>F83+G83</f>
        <v>1287.05</v>
      </c>
      <c r="I83" s="63">
        <f>E83*H83</f>
        <v>27028.05</v>
      </c>
      <c r="J83" s="12">
        <f t="shared" si="0"/>
        <v>0.25</v>
      </c>
      <c r="K83" s="63">
        <f>I83*(1+J83)</f>
        <v>33785.0625</v>
      </c>
      <c r="L83" s="19">
        <f t="shared" si="49"/>
        <v>5.6342112567375167E-2</v>
      </c>
      <c r="M83" s="137"/>
      <c r="N83" s="137"/>
    </row>
    <row r="84" spans="1:439" s="14" customFormat="1" x14ac:dyDescent="0.2">
      <c r="A84" s="88" t="s">
        <v>109</v>
      </c>
      <c r="B84" s="10" t="s">
        <v>354</v>
      </c>
      <c r="C84" s="93" t="s">
        <v>346</v>
      </c>
      <c r="D84" s="109" t="s">
        <v>1</v>
      </c>
      <c r="E84" s="110">
        <v>2</v>
      </c>
      <c r="F84" s="65">
        <v>1029</v>
      </c>
      <c r="G84" s="65">
        <f>5*59</f>
        <v>295</v>
      </c>
      <c r="H84" s="63">
        <f>F84+G84</f>
        <v>1324</v>
      </c>
      <c r="I84" s="63">
        <f>E84*H84</f>
        <v>2648</v>
      </c>
      <c r="J84" s="12">
        <f t="shared" si="0"/>
        <v>0.25</v>
      </c>
      <c r="K84" s="63">
        <f>I84*(1+J84)</f>
        <v>3310</v>
      </c>
      <c r="L84" s="19">
        <f t="shared" si="49"/>
        <v>5.5199658901922055E-3</v>
      </c>
      <c r="M84" s="80"/>
      <c r="N84" s="80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</row>
    <row r="85" spans="1:439" s="14" customFormat="1" x14ac:dyDescent="0.2">
      <c r="A85" s="88" t="s">
        <v>109</v>
      </c>
      <c r="B85" s="10" t="s">
        <v>354</v>
      </c>
      <c r="C85" s="93" t="s">
        <v>347</v>
      </c>
      <c r="D85" s="109" t="s">
        <v>1</v>
      </c>
      <c r="E85" s="110">
        <v>3</v>
      </c>
      <c r="F85" s="65">
        <v>750</v>
      </c>
      <c r="G85" s="65">
        <f>5*59</f>
        <v>295</v>
      </c>
      <c r="H85" s="63">
        <f>F85+G85</f>
        <v>1045</v>
      </c>
      <c r="I85" s="63">
        <f>E85*H85</f>
        <v>3135</v>
      </c>
      <c r="J85" s="12">
        <f t="shared" si="0"/>
        <v>0.25</v>
      </c>
      <c r="K85" s="63">
        <f>I85*(1+J85)</f>
        <v>3918.75</v>
      </c>
      <c r="L85" s="19">
        <f t="shared" si="49"/>
        <v>6.5351559915984006E-3</v>
      </c>
      <c r="M85" s="80"/>
      <c r="N85" s="80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</row>
    <row r="86" spans="1:439" s="14" customFormat="1" x14ac:dyDescent="0.2">
      <c r="A86" s="88" t="s">
        <v>110</v>
      </c>
      <c r="B86" s="10" t="s">
        <v>348</v>
      </c>
      <c r="C86" s="15" t="s">
        <v>60</v>
      </c>
      <c r="D86" s="20" t="s">
        <v>1</v>
      </c>
      <c r="E86" s="102">
        <v>12</v>
      </c>
      <c r="F86" s="65"/>
      <c r="G86" s="65">
        <f>0.7*59</f>
        <v>41.3</v>
      </c>
      <c r="H86" s="63">
        <f t="shared" ref="H86:H94" si="56">F86+G86</f>
        <v>41.3</v>
      </c>
      <c r="I86" s="63">
        <f t="shared" ref="I86:I94" si="57">E86*H86</f>
        <v>495.59999999999997</v>
      </c>
      <c r="J86" s="12">
        <f t="shared" si="0"/>
        <v>0.25</v>
      </c>
      <c r="K86" s="63">
        <f t="shared" ref="K86:K94" si="58">I86*(1+J86)</f>
        <v>619.5</v>
      </c>
      <c r="L86" s="19">
        <f t="shared" si="49"/>
        <v>1.0331174830737375E-3</v>
      </c>
      <c r="M86" s="80"/>
      <c r="N86" s="80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</row>
    <row r="87" spans="1:439" s="14" customFormat="1" x14ac:dyDescent="0.2">
      <c r="A87" s="88" t="s">
        <v>111</v>
      </c>
      <c r="B87" s="10" t="s">
        <v>445</v>
      </c>
      <c r="C87" s="15" t="s">
        <v>446</v>
      </c>
      <c r="D87" s="20" t="s">
        <v>324</v>
      </c>
      <c r="E87" s="102">
        <f>106*2.059</f>
        <v>218.25400000000002</v>
      </c>
      <c r="F87" s="65"/>
      <c r="G87" s="65">
        <v>59</v>
      </c>
      <c r="H87" s="63">
        <f t="shared" si="56"/>
        <v>59</v>
      </c>
      <c r="I87" s="63">
        <f t="shared" si="57"/>
        <v>12876.986000000001</v>
      </c>
      <c r="J87" s="12">
        <f t="shared" si="0"/>
        <v>0.25</v>
      </c>
      <c r="K87" s="63">
        <f t="shared" si="58"/>
        <v>16096.232500000002</v>
      </c>
      <c r="L87" s="19">
        <f t="shared" si="49"/>
        <v>2.6843097994139947E-2</v>
      </c>
      <c r="M87" s="80"/>
      <c r="N87" s="80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</row>
    <row r="88" spans="1:439" s="14" customFormat="1" x14ac:dyDescent="0.2">
      <c r="A88" s="88" t="s">
        <v>112</v>
      </c>
      <c r="B88" s="10" t="s">
        <v>447</v>
      </c>
      <c r="C88" s="15" t="s">
        <v>448</v>
      </c>
      <c r="D88" s="20" t="s">
        <v>324</v>
      </c>
      <c r="E88" s="102">
        <v>2.7</v>
      </c>
      <c r="F88" s="65"/>
      <c r="G88" s="65">
        <v>59</v>
      </c>
      <c r="H88" s="63">
        <f t="shared" si="56"/>
        <v>59</v>
      </c>
      <c r="I88" s="63">
        <f t="shared" si="57"/>
        <v>159.30000000000001</v>
      </c>
      <c r="J88" s="12">
        <f t="shared" si="0"/>
        <v>0.25</v>
      </c>
      <c r="K88" s="63">
        <f t="shared" si="58"/>
        <v>199.125</v>
      </c>
      <c r="L88" s="19">
        <f t="shared" si="49"/>
        <v>3.3207347670227282E-4</v>
      </c>
      <c r="M88" s="80"/>
      <c r="N88" s="80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</row>
    <row r="89" spans="1:439" s="14" customFormat="1" x14ac:dyDescent="0.2">
      <c r="A89" s="88" t="s">
        <v>113</v>
      </c>
      <c r="B89" s="10" t="s">
        <v>424</v>
      </c>
      <c r="C89" s="15" t="s">
        <v>449</v>
      </c>
      <c r="D89" s="20" t="s">
        <v>324</v>
      </c>
      <c r="E89" s="102">
        <f>0.5*12</f>
        <v>6</v>
      </c>
      <c r="F89" s="65"/>
      <c r="G89" s="65">
        <v>59</v>
      </c>
      <c r="H89" s="63">
        <f t="shared" si="56"/>
        <v>59</v>
      </c>
      <c r="I89" s="63">
        <f t="shared" si="57"/>
        <v>354</v>
      </c>
      <c r="J89" s="12">
        <f t="shared" si="0"/>
        <v>0.25</v>
      </c>
      <c r="K89" s="63">
        <f t="shared" si="58"/>
        <v>442.5</v>
      </c>
      <c r="L89" s="19">
        <f t="shared" si="49"/>
        <v>7.3794105933838402E-4</v>
      </c>
      <c r="M89" s="80"/>
      <c r="N89" s="80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</row>
    <row r="90" spans="1:439" x14ac:dyDescent="0.2">
      <c r="A90" s="88" t="s">
        <v>114</v>
      </c>
      <c r="B90" s="10" t="s">
        <v>409</v>
      </c>
      <c r="C90" s="15" t="s">
        <v>450</v>
      </c>
      <c r="D90" s="20" t="s">
        <v>324</v>
      </c>
      <c r="E90" s="102">
        <v>25</v>
      </c>
      <c r="F90" s="65"/>
      <c r="G90" s="65">
        <v>59</v>
      </c>
      <c r="H90" s="63">
        <f t="shared" si="56"/>
        <v>59</v>
      </c>
      <c r="I90" s="63">
        <f t="shared" si="57"/>
        <v>1475</v>
      </c>
      <c r="J90" s="12">
        <f t="shared" si="0"/>
        <v>0.25</v>
      </c>
      <c r="K90" s="63">
        <f t="shared" si="58"/>
        <v>1843.75</v>
      </c>
      <c r="L90" s="19">
        <f t="shared" si="49"/>
        <v>3.0747544139099335E-3</v>
      </c>
      <c r="M90" s="137"/>
      <c r="N90" s="137"/>
    </row>
    <row r="91" spans="1:439" x14ac:dyDescent="0.2">
      <c r="A91" s="88" t="s">
        <v>115</v>
      </c>
      <c r="B91" s="10" t="s">
        <v>409</v>
      </c>
      <c r="C91" s="15" t="s">
        <v>451</v>
      </c>
      <c r="D91" s="20" t="s">
        <v>324</v>
      </c>
      <c r="E91" s="102">
        <v>15</v>
      </c>
      <c r="F91" s="65"/>
      <c r="G91" s="65">
        <v>59</v>
      </c>
      <c r="H91" s="63">
        <f t="shared" si="56"/>
        <v>59</v>
      </c>
      <c r="I91" s="63">
        <f t="shared" si="57"/>
        <v>885</v>
      </c>
      <c r="J91" s="12">
        <f t="shared" si="0"/>
        <v>0.25</v>
      </c>
      <c r="K91" s="63">
        <f t="shared" si="58"/>
        <v>1106.25</v>
      </c>
      <c r="L91" s="19">
        <f t="shared" si="49"/>
        <v>1.8448526483459599E-3</v>
      </c>
      <c r="M91" s="137"/>
      <c r="N91" s="137"/>
    </row>
    <row r="92" spans="1:439" x14ac:dyDescent="0.2">
      <c r="A92" s="88" t="s">
        <v>116</v>
      </c>
      <c r="B92" s="10" t="s">
        <v>409</v>
      </c>
      <c r="C92" s="15" t="s">
        <v>452</v>
      </c>
      <c r="D92" s="20" t="s">
        <v>324</v>
      </c>
      <c r="E92" s="102">
        <v>5</v>
      </c>
      <c r="F92" s="65"/>
      <c r="G92" s="65">
        <v>59</v>
      </c>
      <c r="H92" s="63">
        <f t="shared" si="56"/>
        <v>59</v>
      </c>
      <c r="I92" s="63">
        <f t="shared" si="57"/>
        <v>295</v>
      </c>
      <c r="J92" s="12">
        <f t="shared" si="0"/>
        <v>0.25</v>
      </c>
      <c r="K92" s="63">
        <f t="shared" si="58"/>
        <v>368.75</v>
      </c>
      <c r="L92" s="19">
        <f t="shared" si="49"/>
        <v>6.1495088278198668E-4</v>
      </c>
      <c r="M92" s="137"/>
      <c r="N92" s="137"/>
    </row>
    <row r="93" spans="1:439" x14ac:dyDescent="0.2">
      <c r="A93" s="88" t="s">
        <v>117</v>
      </c>
      <c r="B93" s="10" t="s">
        <v>409</v>
      </c>
      <c r="C93" s="15" t="s">
        <v>453</v>
      </c>
      <c r="D93" s="20" t="s">
        <v>324</v>
      </c>
      <c r="E93" s="102">
        <v>5</v>
      </c>
      <c r="F93" s="65"/>
      <c r="G93" s="65">
        <v>59</v>
      </c>
      <c r="H93" s="63">
        <f t="shared" si="56"/>
        <v>59</v>
      </c>
      <c r="I93" s="63">
        <f t="shared" si="57"/>
        <v>295</v>
      </c>
      <c r="J93" s="12">
        <f t="shared" si="0"/>
        <v>0.25</v>
      </c>
      <c r="K93" s="63">
        <f t="shared" si="58"/>
        <v>368.75</v>
      </c>
      <c r="L93" s="19">
        <f t="shared" si="49"/>
        <v>6.1495088278198668E-4</v>
      </c>
      <c r="M93" s="137"/>
      <c r="N93" s="137"/>
    </row>
    <row r="94" spans="1:439" x14ac:dyDescent="0.2">
      <c r="A94" s="88" t="s">
        <v>118</v>
      </c>
      <c r="B94" s="10" t="s">
        <v>409</v>
      </c>
      <c r="C94" s="15" t="s">
        <v>454</v>
      </c>
      <c r="D94" s="20" t="s">
        <v>324</v>
      </c>
      <c r="E94" s="102">
        <v>5</v>
      </c>
      <c r="F94" s="65"/>
      <c r="G94" s="65">
        <v>59</v>
      </c>
      <c r="H94" s="63">
        <f t="shared" si="56"/>
        <v>59</v>
      </c>
      <c r="I94" s="63">
        <f t="shared" si="57"/>
        <v>295</v>
      </c>
      <c r="J94" s="12">
        <f t="shared" si="0"/>
        <v>0.25</v>
      </c>
      <c r="K94" s="63">
        <f t="shared" si="58"/>
        <v>368.75</v>
      </c>
      <c r="L94" s="19">
        <f t="shared" si="49"/>
        <v>6.1495088278198668E-4</v>
      </c>
      <c r="M94" s="137"/>
      <c r="N94" s="137"/>
    </row>
    <row r="95" spans="1:439" ht="25.5" x14ac:dyDescent="0.2">
      <c r="A95" s="88" t="s">
        <v>119</v>
      </c>
      <c r="B95" s="15" t="s">
        <v>404</v>
      </c>
      <c r="C95" s="15" t="s">
        <v>455</v>
      </c>
      <c r="D95" s="20" t="s">
        <v>1</v>
      </c>
      <c r="E95" s="102">
        <v>13</v>
      </c>
      <c r="F95" s="65"/>
      <c r="G95" s="65">
        <v>59</v>
      </c>
      <c r="H95" s="63">
        <f t="shared" ref="H95:H109" si="59">F95+G95</f>
        <v>59</v>
      </c>
      <c r="I95" s="63">
        <f t="shared" ref="I95:I109" si="60">E95*H95</f>
        <v>767</v>
      </c>
      <c r="J95" s="12">
        <f t="shared" si="0"/>
        <v>0.25</v>
      </c>
      <c r="K95" s="63">
        <f t="shared" ref="K95:K109" si="61">I95*(1+J95)</f>
        <v>958.75</v>
      </c>
      <c r="L95" s="19">
        <f t="shared" si="49"/>
        <v>1.5988722952331653E-3</v>
      </c>
      <c r="M95" s="137"/>
      <c r="N95" s="137"/>
    </row>
    <row r="96" spans="1:439" s="14" customFormat="1" x14ac:dyDescent="0.2">
      <c r="A96" s="88" t="s">
        <v>120</v>
      </c>
      <c r="B96" s="10" t="s">
        <v>349</v>
      </c>
      <c r="C96" s="15" t="s">
        <v>421</v>
      </c>
      <c r="D96" s="20" t="s">
        <v>324</v>
      </c>
      <c r="E96" s="102">
        <f>1.2*15</f>
        <v>18</v>
      </c>
      <c r="F96" s="65"/>
      <c r="G96" s="65">
        <v>59</v>
      </c>
      <c r="H96" s="63">
        <f t="shared" si="59"/>
        <v>59</v>
      </c>
      <c r="I96" s="63">
        <f t="shared" si="60"/>
        <v>1062</v>
      </c>
      <c r="J96" s="12">
        <f t="shared" si="0"/>
        <v>0.25</v>
      </c>
      <c r="K96" s="63">
        <f t="shared" si="61"/>
        <v>1327.5</v>
      </c>
      <c r="L96" s="19">
        <f t="shared" si="49"/>
        <v>2.2138231780151518E-3</v>
      </c>
      <c r="M96" s="80"/>
      <c r="N96" s="80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</row>
    <row r="97" spans="1:439" s="14" customFormat="1" x14ac:dyDescent="0.2">
      <c r="A97" s="88" t="s">
        <v>121</v>
      </c>
      <c r="B97" s="10" t="s">
        <v>350</v>
      </c>
      <c r="C97" s="15" t="s">
        <v>416</v>
      </c>
      <c r="D97" s="20" t="s">
        <v>324</v>
      </c>
      <c r="E97" s="102">
        <f>54*0.4</f>
        <v>21.6</v>
      </c>
      <c r="F97" s="65"/>
      <c r="G97" s="65">
        <v>59</v>
      </c>
      <c r="H97" s="63">
        <f t="shared" si="59"/>
        <v>59</v>
      </c>
      <c r="I97" s="63">
        <f t="shared" si="60"/>
        <v>1274.4000000000001</v>
      </c>
      <c r="J97" s="12">
        <f t="shared" si="0"/>
        <v>0.25</v>
      </c>
      <c r="K97" s="63">
        <f t="shared" si="61"/>
        <v>1593</v>
      </c>
      <c r="L97" s="19">
        <f t="shared" si="49"/>
        <v>2.6565878136181826E-3</v>
      </c>
      <c r="M97" s="80"/>
      <c r="N97" s="80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</row>
    <row r="98" spans="1:439" s="14" customFormat="1" x14ac:dyDescent="0.2">
      <c r="A98" s="88" t="s">
        <v>122</v>
      </c>
      <c r="B98" s="10" t="s">
        <v>456</v>
      </c>
      <c r="C98" s="15" t="s">
        <v>457</v>
      </c>
      <c r="D98" s="20" t="s">
        <v>324</v>
      </c>
      <c r="E98" s="102">
        <f>13*0.6</f>
        <v>7.8</v>
      </c>
      <c r="F98" s="65"/>
      <c r="G98" s="65">
        <v>59</v>
      </c>
      <c r="H98" s="63">
        <f t="shared" si="59"/>
        <v>59</v>
      </c>
      <c r="I98" s="63">
        <f t="shared" si="60"/>
        <v>460.2</v>
      </c>
      <c r="J98" s="12">
        <f t="shared" si="0"/>
        <v>0.25</v>
      </c>
      <c r="K98" s="63">
        <f t="shared" si="61"/>
        <v>575.25</v>
      </c>
      <c r="L98" s="19">
        <f t="shared" si="49"/>
        <v>9.5932337713989916E-4</v>
      </c>
      <c r="M98" s="80"/>
      <c r="N98" s="80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</row>
    <row r="99" spans="1:439" s="14" customFormat="1" x14ac:dyDescent="0.2">
      <c r="A99" s="88" t="s">
        <v>123</v>
      </c>
      <c r="B99" s="10" t="s">
        <v>351</v>
      </c>
      <c r="C99" s="15" t="s">
        <v>415</v>
      </c>
      <c r="D99" s="20" t="s">
        <v>324</v>
      </c>
      <c r="E99" s="102">
        <f>1.45*9.2</f>
        <v>13.339999999999998</v>
      </c>
      <c r="F99" s="65"/>
      <c r="G99" s="65">
        <v>59</v>
      </c>
      <c r="H99" s="63">
        <f t="shared" si="59"/>
        <v>59</v>
      </c>
      <c r="I99" s="63">
        <f t="shared" si="60"/>
        <v>787.05999999999983</v>
      </c>
      <c r="J99" s="12">
        <f t="shared" si="0"/>
        <v>0.25</v>
      </c>
      <c r="K99" s="63">
        <f t="shared" si="61"/>
        <v>983.82499999999982</v>
      </c>
      <c r="L99" s="19">
        <f t="shared" si="49"/>
        <v>1.6406889552623401E-3</v>
      </c>
      <c r="M99" s="80"/>
      <c r="N99" s="80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</row>
    <row r="100" spans="1:439" s="14" customFormat="1" ht="13.5" thickBot="1" x14ac:dyDescent="0.25">
      <c r="A100" s="88" t="s">
        <v>124</v>
      </c>
      <c r="B100" s="10" t="s">
        <v>351</v>
      </c>
      <c r="C100" s="139" t="s">
        <v>464</v>
      </c>
      <c r="D100" s="20" t="s">
        <v>324</v>
      </c>
      <c r="E100" s="102">
        <f>84/99.6*9.2</f>
        <v>7.7590361445783129</v>
      </c>
      <c r="F100" s="65"/>
      <c r="G100" s="65">
        <f>9.2*59</f>
        <v>542.79999999999995</v>
      </c>
      <c r="H100" s="63">
        <f t="shared" ref="H100:H101" si="62">F100+G100</f>
        <v>542.79999999999995</v>
      </c>
      <c r="I100" s="63">
        <f t="shared" ref="I100:I101" si="63">E100*H100</f>
        <v>4211.6048192771077</v>
      </c>
      <c r="J100" s="12">
        <f t="shared" si="0"/>
        <v>0.25</v>
      </c>
      <c r="K100" s="63">
        <f t="shared" ref="K100:K101" si="64">I100*(1+J100)</f>
        <v>5264.5060240963849</v>
      </c>
      <c r="L100" s="19">
        <f t="shared" si="49"/>
        <v>8.7794240730282268E-3</v>
      </c>
      <c r="M100" s="80"/>
      <c r="N100" s="80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</row>
    <row r="101" spans="1:439" ht="13.5" thickBot="1" x14ac:dyDescent="0.25">
      <c r="A101" s="88" t="s">
        <v>124</v>
      </c>
      <c r="B101" s="10" t="s">
        <v>458</v>
      </c>
      <c r="C101" s="139" t="s">
        <v>459</v>
      </c>
      <c r="D101" s="20" t="s">
        <v>324</v>
      </c>
      <c r="E101" s="102">
        <f>0.32*27.724</f>
        <v>8.8716799999999996</v>
      </c>
      <c r="F101" s="65"/>
      <c r="G101" s="65">
        <v>59</v>
      </c>
      <c r="H101" s="63">
        <f t="shared" si="62"/>
        <v>59</v>
      </c>
      <c r="I101" s="63">
        <f t="shared" si="63"/>
        <v>523.42912000000001</v>
      </c>
      <c r="J101" s="12">
        <f t="shared" si="0"/>
        <v>0.25</v>
      </c>
      <c r="K101" s="63">
        <f t="shared" si="64"/>
        <v>654.28639999999996</v>
      </c>
      <c r="L101" s="19">
        <f t="shared" si="49"/>
        <v>1.091129489551859E-3</v>
      </c>
      <c r="M101" s="137"/>
      <c r="N101" s="137"/>
    </row>
    <row r="102" spans="1:439" ht="13.5" thickBot="1" x14ac:dyDescent="0.25">
      <c r="A102" s="88" t="s">
        <v>124</v>
      </c>
      <c r="B102" s="10" t="s">
        <v>456</v>
      </c>
      <c r="C102" s="139" t="s">
        <v>414</v>
      </c>
      <c r="D102" s="20" t="s">
        <v>324</v>
      </c>
      <c r="E102" s="102">
        <f>13*0.6</f>
        <v>7.8</v>
      </c>
      <c r="F102" s="65"/>
      <c r="G102" s="65">
        <v>59</v>
      </c>
      <c r="H102" s="63">
        <f t="shared" ref="H102" si="65">F102+G102</f>
        <v>59</v>
      </c>
      <c r="I102" s="63">
        <f t="shared" ref="I102" si="66">E102*H102</f>
        <v>460.2</v>
      </c>
      <c r="J102" s="12">
        <f t="shared" si="0"/>
        <v>0.25</v>
      </c>
      <c r="K102" s="63">
        <f t="shared" ref="K102" si="67">I102*(1+J102)</f>
        <v>575.25</v>
      </c>
      <c r="L102" s="19">
        <f t="shared" si="49"/>
        <v>9.5932337713989916E-4</v>
      </c>
      <c r="M102" s="137"/>
      <c r="N102" s="137"/>
    </row>
    <row r="103" spans="1:439" x14ac:dyDescent="0.2">
      <c r="A103" s="88" t="s">
        <v>124</v>
      </c>
      <c r="B103" s="10" t="s">
        <v>460</v>
      </c>
      <c r="C103" s="15" t="s">
        <v>417</v>
      </c>
      <c r="D103" s="20" t="s">
        <v>324</v>
      </c>
      <c r="E103" s="102">
        <f>106*1.8</f>
        <v>190.8</v>
      </c>
      <c r="F103" s="65"/>
      <c r="G103" s="65">
        <v>59</v>
      </c>
      <c r="H103" s="63">
        <f t="shared" si="59"/>
        <v>59</v>
      </c>
      <c r="I103" s="63">
        <f t="shared" si="60"/>
        <v>11257.2</v>
      </c>
      <c r="J103" s="12">
        <f t="shared" si="0"/>
        <v>0.25</v>
      </c>
      <c r="K103" s="63">
        <f t="shared" si="61"/>
        <v>14071.5</v>
      </c>
      <c r="L103" s="19">
        <f t="shared" si="49"/>
        <v>2.3466525686960612E-2</v>
      </c>
      <c r="M103" s="137"/>
      <c r="N103" s="137"/>
    </row>
    <row r="104" spans="1:439" s="14" customFormat="1" x14ac:dyDescent="0.2">
      <c r="A104" s="88" t="s">
        <v>125</v>
      </c>
      <c r="B104" s="127" t="s">
        <v>425</v>
      </c>
      <c r="C104" s="15" t="s">
        <v>388</v>
      </c>
      <c r="D104" s="20" t="s">
        <v>1</v>
      </c>
      <c r="E104" s="102">
        <v>42</v>
      </c>
      <c r="F104" s="65"/>
      <c r="G104" s="65">
        <f>59*0.12</f>
        <v>7.08</v>
      </c>
      <c r="H104" s="63">
        <f t="shared" si="59"/>
        <v>7.08</v>
      </c>
      <c r="I104" s="63">
        <f t="shared" si="60"/>
        <v>297.36</v>
      </c>
      <c r="J104" s="12">
        <f t="shared" si="0"/>
        <v>0.25</v>
      </c>
      <c r="K104" s="63">
        <f t="shared" si="61"/>
        <v>371.70000000000005</v>
      </c>
      <c r="L104" s="19">
        <f t="shared" si="49"/>
        <v>6.1987048984424266E-4</v>
      </c>
      <c r="M104" s="80"/>
      <c r="N104" s="80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</row>
    <row r="105" spans="1:439" s="14" customFormat="1" x14ac:dyDescent="0.2">
      <c r="A105" s="88" t="s">
        <v>359</v>
      </c>
      <c r="B105" s="10" t="s">
        <v>461</v>
      </c>
      <c r="C105" s="15" t="s">
        <v>419</v>
      </c>
      <c r="D105" s="20" t="s">
        <v>324</v>
      </c>
      <c r="E105" s="102">
        <f>9*11.2</f>
        <v>100.8</v>
      </c>
      <c r="F105" s="65"/>
      <c r="G105" s="65">
        <v>59</v>
      </c>
      <c r="H105" s="63">
        <f t="shared" si="59"/>
        <v>59</v>
      </c>
      <c r="I105" s="63">
        <f t="shared" si="60"/>
        <v>5947.2</v>
      </c>
      <c r="J105" s="12">
        <f t="shared" si="0"/>
        <v>0.25</v>
      </c>
      <c r="K105" s="63">
        <f t="shared" si="61"/>
        <v>7434</v>
      </c>
      <c r="L105" s="19">
        <f t="shared" si="49"/>
        <v>1.2397409796884851E-2</v>
      </c>
      <c r="M105" s="80"/>
      <c r="N105" s="80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</row>
    <row r="106" spans="1:439" x14ac:dyDescent="0.2">
      <c r="A106" s="88" t="s">
        <v>126</v>
      </c>
      <c r="B106" s="10" t="s">
        <v>463</v>
      </c>
      <c r="C106" s="15" t="s">
        <v>462</v>
      </c>
      <c r="D106" s="20" t="s">
        <v>324</v>
      </c>
      <c r="E106" s="102">
        <v>6.65</v>
      </c>
      <c r="F106" s="65"/>
      <c r="G106" s="65">
        <v>59</v>
      </c>
      <c r="H106" s="63">
        <f t="shared" si="59"/>
        <v>59</v>
      </c>
      <c r="I106" s="63">
        <f t="shared" si="60"/>
        <v>392.35</v>
      </c>
      <c r="J106" s="12">
        <f t="shared" si="0"/>
        <v>0.25</v>
      </c>
      <c r="K106" s="63">
        <f t="shared" si="61"/>
        <v>490.4375</v>
      </c>
      <c r="L106" s="19">
        <f t="shared" si="49"/>
        <v>8.1788467410004223E-4</v>
      </c>
      <c r="M106" s="137"/>
      <c r="N106" s="137"/>
    </row>
    <row r="107" spans="1:439" x14ac:dyDescent="0.2">
      <c r="A107" s="88" t="s">
        <v>127</v>
      </c>
      <c r="B107" s="10" t="s">
        <v>463</v>
      </c>
      <c r="C107" s="15" t="s">
        <v>420</v>
      </c>
      <c r="D107" s="20" t="s">
        <v>324</v>
      </c>
      <c r="E107" s="102">
        <f>9*6.65</f>
        <v>59.85</v>
      </c>
      <c r="F107" s="65"/>
      <c r="G107" s="65">
        <v>59</v>
      </c>
      <c r="H107" s="63">
        <f t="shared" si="59"/>
        <v>59</v>
      </c>
      <c r="I107" s="63">
        <f t="shared" si="60"/>
        <v>3531.15</v>
      </c>
      <c r="J107" s="12">
        <f t="shared" si="0"/>
        <v>0.25</v>
      </c>
      <c r="K107" s="63">
        <f t="shared" si="61"/>
        <v>4413.9375</v>
      </c>
      <c r="L107" s="19">
        <f t="shared" si="49"/>
        <v>7.3609620669003806E-3</v>
      </c>
      <c r="M107" s="137"/>
      <c r="N107" s="137"/>
    </row>
    <row r="108" spans="1:439" s="14" customFormat="1" x14ac:dyDescent="0.2">
      <c r="A108" s="88" t="s">
        <v>128</v>
      </c>
      <c r="B108" s="127" t="s">
        <v>422</v>
      </c>
      <c r="C108" s="15" t="s">
        <v>423</v>
      </c>
      <c r="D108" s="20" t="s">
        <v>324</v>
      </c>
      <c r="E108" s="102">
        <f>11*2</f>
        <v>22</v>
      </c>
      <c r="F108" s="65"/>
      <c r="G108" s="65">
        <v>59</v>
      </c>
      <c r="H108" s="63">
        <f t="shared" si="59"/>
        <v>59</v>
      </c>
      <c r="I108" s="63">
        <f t="shared" si="60"/>
        <v>1298</v>
      </c>
      <c r="J108" s="12">
        <f t="shared" si="0"/>
        <v>0.25</v>
      </c>
      <c r="K108" s="63">
        <f t="shared" si="61"/>
        <v>1622.5</v>
      </c>
      <c r="L108" s="19">
        <f t="shared" si="49"/>
        <v>2.7057838842407412E-3</v>
      </c>
      <c r="M108" s="80"/>
      <c r="N108" s="80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</row>
    <row r="109" spans="1:439" s="14" customFormat="1" x14ac:dyDescent="0.2">
      <c r="A109" s="88" t="s">
        <v>129</v>
      </c>
      <c r="B109" s="127" t="s">
        <v>352</v>
      </c>
      <c r="C109" s="15" t="s">
        <v>410</v>
      </c>
      <c r="D109" s="20" t="s">
        <v>1</v>
      </c>
      <c r="E109" s="102">
        <f>1*5.2</f>
        <v>5.2</v>
      </c>
      <c r="F109" s="65"/>
      <c r="G109" s="65">
        <f>5.2*59</f>
        <v>306.8</v>
      </c>
      <c r="H109" s="63">
        <f t="shared" si="59"/>
        <v>306.8</v>
      </c>
      <c r="I109" s="63">
        <f t="shared" si="60"/>
        <v>1595.3600000000001</v>
      </c>
      <c r="J109" s="12">
        <f t="shared" si="0"/>
        <v>0.25</v>
      </c>
      <c r="K109" s="63">
        <f t="shared" si="61"/>
        <v>1994.2000000000003</v>
      </c>
      <c r="L109" s="19">
        <f t="shared" ref="L109:L114" si="68">K109/$K$118</f>
        <v>3.3256543740849843E-3</v>
      </c>
      <c r="M109" s="80"/>
      <c r="N109" s="80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</row>
    <row r="110" spans="1:439" s="14" customFormat="1" x14ac:dyDescent="0.2">
      <c r="A110" s="88" t="s">
        <v>129</v>
      </c>
      <c r="B110" s="127" t="s">
        <v>353</v>
      </c>
      <c r="C110" s="93" t="s">
        <v>59</v>
      </c>
      <c r="D110" s="109" t="s">
        <v>1</v>
      </c>
      <c r="E110" s="110">
        <v>6</v>
      </c>
      <c r="F110" s="65">
        <v>3.41</v>
      </c>
      <c r="G110" s="65"/>
      <c r="H110" s="63">
        <f t="shared" ref="H110:H114" si="69">F110+G110</f>
        <v>3.41</v>
      </c>
      <c r="I110" s="63">
        <f t="shared" ref="I110:I114" si="70">E110*H110</f>
        <v>20.46</v>
      </c>
      <c r="J110" s="12">
        <f t="shared" si="0"/>
        <v>0.25</v>
      </c>
      <c r="K110" s="63">
        <f t="shared" ref="K110:K114" si="71">I110*(1+J110)</f>
        <v>25.575000000000003</v>
      </c>
      <c r="L110" s="19">
        <f t="shared" si="68"/>
        <v>4.2650491734642202E-5</v>
      </c>
      <c r="M110" s="80"/>
      <c r="N110" s="80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</row>
    <row r="111" spans="1:439" s="14" customFormat="1" x14ac:dyDescent="0.2">
      <c r="A111" s="88" t="s">
        <v>129</v>
      </c>
      <c r="B111" s="127" t="s">
        <v>32</v>
      </c>
      <c r="C111" s="93" t="s">
        <v>396</v>
      </c>
      <c r="D111" s="109" t="s">
        <v>1</v>
      </c>
      <c r="E111" s="110">
        <v>29</v>
      </c>
      <c r="F111" s="65">
        <v>690</v>
      </c>
      <c r="G111" s="65"/>
      <c r="H111" s="63">
        <f t="shared" ref="H111:H112" si="72">F111+G111</f>
        <v>690</v>
      </c>
      <c r="I111" s="63">
        <f t="shared" ref="I111:I112" si="73">E111*H111</f>
        <v>20010</v>
      </c>
      <c r="J111" s="12">
        <f t="shared" si="0"/>
        <v>0.25</v>
      </c>
      <c r="K111" s="63">
        <f t="shared" ref="K111:K112" si="74">I111*(1+J111)</f>
        <v>25012.5</v>
      </c>
      <c r="L111" s="19">
        <f t="shared" si="68"/>
        <v>4.1712431065991706E-2</v>
      </c>
      <c r="M111" s="80"/>
      <c r="N111" s="80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</row>
    <row r="112" spans="1:439" s="14" customFormat="1" x14ac:dyDescent="0.2">
      <c r="A112" s="88" t="s">
        <v>133</v>
      </c>
      <c r="B112" s="127" t="s">
        <v>428</v>
      </c>
      <c r="C112" s="93" t="s">
        <v>465</v>
      </c>
      <c r="D112" s="109" t="s">
        <v>1</v>
      </c>
      <c r="E112" s="110">
        <v>6</v>
      </c>
      <c r="F112" s="65">
        <v>0.86</v>
      </c>
      <c r="G112" s="65"/>
      <c r="H112" s="63">
        <f t="shared" si="72"/>
        <v>0.86</v>
      </c>
      <c r="I112" s="63">
        <f t="shared" si="73"/>
        <v>5.16</v>
      </c>
      <c r="J112" s="12">
        <f t="shared" si="0"/>
        <v>0.25</v>
      </c>
      <c r="K112" s="63">
        <f t="shared" si="74"/>
        <v>6.45</v>
      </c>
      <c r="L112" s="19">
        <f t="shared" si="68"/>
        <v>1.0756429000525598E-5</v>
      </c>
      <c r="M112" s="80"/>
      <c r="N112" s="80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</row>
    <row r="113" spans="1:439" s="14" customFormat="1" x14ac:dyDescent="0.2">
      <c r="A113" s="88" t="s">
        <v>130</v>
      </c>
      <c r="B113" s="127" t="s">
        <v>32</v>
      </c>
      <c r="C113" s="138" t="s">
        <v>397</v>
      </c>
      <c r="D113" s="109" t="s">
        <v>1</v>
      </c>
      <c r="E113" s="110">
        <v>43</v>
      </c>
      <c r="F113" s="65">
        <v>2.37</v>
      </c>
      <c r="G113" s="65"/>
      <c r="H113" s="63">
        <f t="shared" si="69"/>
        <v>2.37</v>
      </c>
      <c r="I113" s="63">
        <f t="shared" si="70"/>
        <v>101.91000000000001</v>
      </c>
      <c r="J113" s="12">
        <f t="shared" si="0"/>
        <v>0.25</v>
      </c>
      <c r="K113" s="63">
        <f t="shared" si="71"/>
        <v>127.38750000000002</v>
      </c>
      <c r="L113" s="19">
        <f t="shared" si="68"/>
        <v>2.1243947276038057E-4</v>
      </c>
      <c r="M113" s="80"/>
      <c r="N113" s="80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</row>
    <row r="114" spans="1:439" s="14" customFormat="1" x14ac:dyDescent="0.2">
      <c r="A114" s="88" t="s">
        <v>131</v>
      </c>
      <c r="B114" s="127" t="s">
        <v>429</v>
      </c>
      <c r="C114" s="138" t="s">
        <v>398</v>
      </c>
      <c r="D114" s="109" t="s">
        <v>1</v>
      </c>
      <c r="E114" s="110">
        <v>6</v>
      </c>
      <c r="F114" s="65">
        <f>6*36.15</f>
        <v>216.89999999999998</v>
      </c>
      <c r="G114" s="65"/>
      <c r="H114" s="63">
        <f t="shared" si="69"/>
        <v>216.89999999999998</v>
      </c>
      <c r="I114" s="63">
        <f t="shared" si="70"/>
        <v>1301.3999999999999</v>
      </c>
      <c r="J114" s="12">
        <f t="shared" si="0"/>
        <v>0.25</v>
      </c>
      <c r="K114" s="63">
        <f t="shared" si="71"/>
        <v>1626.7499999999998</v>
      </c>
      <c r="L114" s="19">
        <f t="shared" si="68"/>
        <v>2.7128714537372114E-3</v>
      </c>
      <c r="M114" s="80"/>
      <c r="N114" s="80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</row>
    <row r="115" spans="1:439" s="24" customFormat="1" x14ac:dyDescent="0.2">
      <c r="A115" s="89"/>
      <c r="B115" s="130"/>
      <c r="C115" s="25"/>
      <c r="D115" s="27"/>
      <c r="E115" s="103"/>
      <c r="F115" s="180"/>
      <c r="G115" s="180"/>
      <c r="H115" s="180"/>
      <c r="I115" s="76"/>
      <c r="J115" s="77"/>
      <c r="K115" s="67"/>
      <c r="L115" s="42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</row>
    <row r="116" spans="1:439" s="23" customFormat="1" ht="15" customHeight="1" x14ac:dyDescent="0.2">
      <c r="A116" s="27"/>
      <c r="B116" s="131"/>
      <c r="C116" s="190" t="s">
        <v>67</v>
      </c>
      <c r="D116" s="190"/>
      <c r="E116" s="190"/>
      <c r="F116" s="111"/>
      <c r="G116" s="124"/>
      <c r="H116" s="94"/>
      <c r="I116" s="56"/>
      <c r="J116" s="28"/>
      <c r="K116" s="66"/>
      <c r="L116" s="41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22"/>
      <c r="LA116" s="22"/>
      <c r="LB116" s="22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22"/>
      <c r="MF116" s="22"/>
      <c r="MG116" s="22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22"/>
      <c r="NK116" s="22"/>
      <c r="NL116" s="22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22"/>
      <c r="OP116" s="22"/>
      <c r="OQ116" s="22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22"/>
      <c r="PU116" s="22"/>
      <c r="PV116" s="22"/>
      <c r="PW116" s="22"/>
    </row>
    <row r="117" spans="1:439" s="26" customFormat="1" ht="13.5" thickBot="1" x14ac:dyDescent="0.25">
      <c r="A117" s="84"/>
      <c r="B117" s="132"/>
      <c r="C117" s="187" t="s">
        <v>426</v>
      </c>
      <c r="D117" s="187"/>
      <c r="E117" s="187"/>
      <c r="F117" s="180"/>
      <c r="G117" s="180"/>
      <c r="H117" s="47"/>
      <c r="I117" s="95"/>
      <c r="K117" s="67"/>
      <c r="L117" s="42"/>
    </row>
    <row r="118" spans="1:439" s="24" customFormat="1" ht="13.5" thickBot="1" x14ac:dyDescent="0.3">
      <c r="A118" s="90"/>
      <c r="B118" s="188"/>
      <c r="C118" s="194" t="s">
        <v>363</v>
      </c>
      <c r="D118" s="194"/>
      <c r="E118" s="194"/>
      <c r="F118" s="115"/>
      <c r="G118" s="125"/>
      <c r="H118" s="79"/>
      <c r="I118" s="183" t="s">
        <v>13</v>
      </c>
      <c r="J118" s="184"/>
      <c r="K118" s="78">
        <f>K13+K10+K6</f>
        <v>599641.38653123914</v>
      </c>
      <c r="L118" s="40">
        <f>L13+L10+L6</f>
        <v>1.0000000000000002</v>
      </c>
      <c r="M118" s="81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</row>
    <row r="119" spans="1:439" x14ac:dyDescent="0.2">
      <c r="A119" s="91"/>
      <c r="B119" s="188"/>
      <c r="C119" s="194" t="s">
        <v>364</v>
      </c>
      <c r="D119" s="194"/>
      <c r="E119" s="194"/>
      <c r="F119" s="111"/>
      <c r="G119" s="57"/>
      <c r="H119" s="50"/>
      <c r="I119" s="50"/>
      <c r="J119" s="29"/>
      <c r="K119" s="68"/>
      <c r="L119" s="43"/>
    </row>
    <row r="120" spans="1:439" x14ac:dyDescent="0.2">
      <c r="A120" s="91"/>
      <c r="B120" s="132"/>
      <c r="C120" s="189" t="s">
        <v>365</v>
      </c>
      <c r="D120" s="189"/>
      <c r="E120" s="189"/>
      <c r="F120" s="111"/>
      <c r="G120" s="57"/>
      <c r="H120" s="50"/>
      <c r="I120" s="50"/>
      <c r="J120" s="29"/>
      <c r="K120" s="68"/>
      <c r="L120" s="44"/>
    </row>
    <row r="121" spans="1:439" x14ac:dyDescent="0.2">
      <c r="A121" s="91"/>
      <c r="B121" s="133"/>
      <c r="C121" s="136" t="s">
        <v>366</v>
      </c>
      <c r="D121" s="191">
        <v>59</v>
      </c>
      <c r="E121" s="192"/>
      <c r="F121" s="111"/>
      <c r="G121" s="57"/>
      <c r="H121" s="50"/>
      <c r="I121" s="50"/>
      <c r="J121" s="29"/>
      <c r="K121" s="68"/>
      <c r="L121" s="44"/>
    </row>
    <row r="122" spans="1:439" ht="36.75" customHeight="1" x14ac:dyDescent="0.2">
      <c r="A122" s="91"/>
      <c r="B122" s="133"/>
      <c r="C122" s="193"/>
      <c r="D122" s="193"/>
      <c r="E122" s="193"/>
      <c r="F122" s="111"/>
      <c r="G122" s="57"/>
      <c r="H122" s="50"/>
      <c r="I122" s="50"/>
      <c r="J122" s="29"/>
      <c r="K122" s="68"/>
      <c r="L122" s="44"/>
    </row>
    <row r="123" spans="1:439" x14ac:dyDescent="0.2">
      <c r="A123" s="91"/>
      <c r="B123" s="133"/>
      <c r="C123" s="30"/>
      <c r="D123" s="83"/>
      <c r="E123" s="104"/>
      <c r="F123" s="111"/>
      <c r="G123" s="57"/>
      <c r="H123" s="50"/>
      <c r="I123" s="50"/>
      <c r="J123" s="29"/>
      <c r="K123" s="68"/>
      <c r="L123" s="44"/>
    </row>
    <row r="124" spans="1:439" ht="13.5" thickBot="1" x14ac:dyDescent="0.25">
      <c r="A124" s="91"/>
      <c r="B124" s="133"/>
      <c r="C124" s="32"/>
      <c r="D124" s="83"/>
      <c r="E124" s="104"/>
      <c r="F124" s="111"/>
      <c r="G124" s="58"/>
      <c r="H124" s="53"/>
      <c r="I124" s="53"/>
      <c r="J124" s="33"/>
      <c r="K124" s="68"/>
      <c r="L124" s="44"/>
    </row>
    <row r="125" spans="1:439" x14ac:dyDescent="0.2">
      <c r="A125" s="91"/>
      <c r="B125" s="133"/>
      <c r="C125" s="46" t="s">
        <v>14</v>
      </c>
      <c r="D125" s="83"/>
      <c r="E125" s="104"/>
      <c r="F125" s="111"/>
      <c r="G125" s="179" t="s">
        <v>360</v>
      </c>
      <c r="H125" s="179"/>
      <c r="I125" s="179"/>
      <c r="J125" s="179"/>
      <c r="K125" s="68"/>
      <c r="L125" s="44"/>
    </row>
    <row r="126" spans="1:439" ht="12.75" customHeight="1" x14ac:dyDescent="0.2">
      <c r="A126" s="91"/>
      <c r="B126" s="133"/>
      <c r="C126" s="30"/>
      <c r="D126" s="83"/>
      <c r="E126" s="104"/>
      <c r="F126" s="111"/>
      <c r="G126" s="178" t="s">
        <v>361</v>
      </c>
      <c r="H126" s="178"/>
      <c r="I126" s="178"/>
      <c r="J126" s="178"/>
      <c r="K126" s="68"/>
      <c r="L126" s="44"/>
    </row>
    <row r="127" spans="1:439" ht="13.5" thickBot="1" x14ac:dyDescent="0.25">
      <c r="A127" s="92"/>
      <c r="B127" s="134"/>
      <c r="C127" s="32"/>
      <c r="D127" s="31"/>
      <c r="E127" s="105"/>
      <c r="F127" s="113"/>
      <c r="G127" s="58"/>
      <c r="H127" s="53"/>
      <c r="I127" s="53"/>
      <c r="J127" s="33"/>
      <c r="K127" s="69"/>
      <c r="L127" s="45"/>
    </row>
    <row r="130" spans="1:439" x14ac:dyDescent="0.2">
      <c r="A130" s="1"/>
      <c r="C130" s="37"/>
      <c r="G130" s="61"/>
      <c r="H130" s="61"/>
      <c r="I130" s="61"/>
      <c r="J130" s="1"/>
      <c r="K130" s="71"/>
      <c r="L130" s="2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</row>
    <row r="131" spans="1:439" x14ac:dyDescent="0.2">
      <c r="A131" s="1"/>
      <c r="C131" s="37"/>
      <c r="G131" s="61"/>
      <c r="H131" s="61"/>
      <c r="I131" s="61"/>
      <c r="J131" s="1"/>
      <c r="K131" s="71"/>
      <c r="L131" s="2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</row>
    <row r="132" spans="1:439" x14ac:dyDescent="0.2">
      <c r="A132" s="1"/>
      <c r="C132" s="37"/>
      <c r="G132" s="61"/>
      <c r="H132" s="61"/>
      <c r="I132" s="61"/>
      <c r="J132" s="1"/>
      <c r="K132" s="71"/>
      <c r="L132" s="2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</row>
    <row r="133" spans="1:439" x14ac:dyDescent="0.2">
      <c r="A133" s="1"/>
      <c r="C133" s="37"/>
      <c r="G133" s="61"/>
      <c r="H133" s="61"/>
      <c r="I133" s="61"/>
      <c r="J133" s="1"/>
      <c r="K133" s="71"/>
      <c r="L133" s="2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</row>
    <row r="134" spans="1:439" x14ac:dyDescent="0.2">
      <c r="A134" s="1"/>
      <c r="C134" s="37"/>
      <c r="G134" s="61"/>
      <c r="H134" s="61"/>
      <c r="I134" s="61"/>
      <c r="J134" s="1"/>
      <c r="K134" s="71"/>
      <c r="L134" s="2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</row>
    <row r="135" spans="1:439" x14ac:dyDescent="0.2">
      <c r="A135" s="1"/>
      <c r="C135" s="37"/>
      <c r="G135" s="61"/>
      <c r="H135" s="61"/>
      <c r="I135" s="61"/>
      <c r="J135" s="1"/>
      <c r="K135" s="71"/>
      <c r="L135" s="2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</row>
    <row r="136" spans="1:439" x14ac:dyDescent="0.2">
      <c r="A136" s="1"/>
      <c r="C136" s="37"/>
      <c r="G136" s="61"/>
      <c r="H136" s="61"/>
      <c r="I136" s="61"/>
      <c r="J136" s="1"/>
      <c r="K136" s="71"/>
      <c r="L136" s="2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</row>
    <row r="137" spans="1:439" x14ac:dyDescent="0.2">
      <c r="A137" s="1"/>
      <c r="C137" s="37"/>
      <c r="G137" s="61"/>
      <c r="H137" s="61"/>
      <c r="I137" s="61"/>
      <c r="J137" s="1"/>
      <c r="K137" s="71"/>
      <c r="L137" s="2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</row>
    <row r="138" spans="1:439" x14ac:dyDescent="0.2">
      <c r="A138" s="1"/>
      <c r="C138" s="37"/>
      <c r="G138" s="61"/>
      <c r="H138" s="61"/>
      <c r="I138" s="61"/>
      <c r="J138" s="1"/>
      <c r="K138" s="71"/>
      <c r="L138" s="2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</row>
    <row r="139" spans="1:439" x14ac:dyDescent="0.2">
      <c r="A139" s="1"/>
      <c r="C139" s="37"/>
      <c r="G139" s="61"/>
      <c r="H139" s="61"/>
      <c r="I139" s="61"/>
      <c r="J139" s="1"/>
      <c r="K139" s="71"/>
      <c r="L139" s="2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</row>
    <row r="140" spans="1:439" x14ac:dyDescent="0.2">
      <c r="A140" s="1"/>
      <c r="C140" s="37"/>
      <c r="G140" s="61"/>
      <c r="H140" s="61"/>
      <c r="I140" s="61"/>
      <c r="J140" s="1"/>
      <c r="K140" s="71"/>
      <c r="L140" s="2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</row>
    <row r="141" spans="1:439" x14ac:dyDescent="0.2">
      <c r="A141" s="1"/>
      <c r="C141" s="37"/>
      <c r="G141" s="61"/>
      <c r="H141" s="61"/>
      <c r="I141" s="61"/>
      <c r="J141" s="1"/>
      <c r="K141" s="71"/>
      <c r="L141" s="2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</row>
    <row r="142" spans="1:439" x14ac:dyDescent="0.2">
      <c r="A142" s="1"/>
      <c r="C142" s="37"/>
      <c r="G142" s="61"/>
      <c r="H142" s="61"/>
      <c r="I142" s="61"/>
      <c r="J142" s="1"/>
      <c r="K142" s="71"/>
      <c r="L142" s="2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</row>
    <row r="143" spans="1:439" x14ac:dyDescent="0.2">
      <c r="A143" s="1"/>
      <c r="C143" s="37"/>
      <c r="G143" s="61"/>
      <c r="H143" s="61"/>
      <c r="I143" s="61"/>
      <c r="J143" s="1"/>
      <c r="K143" s="71"/>
      <c r="L143" s="2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</row>
    <row r="144" spans="1:439" x14ac:dyDescent="0.2">
      <c r="A144" s="1"/>
      <c r="C144" s="37"/>
      <c r="G144" s="61"/>
      <c r="H144" s="61"/>
      <c r="I144" s="61"/>
      <c r="J144" s="1"/>
      <c r="K144" s="71"/>
      <c r="L144" s="2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</row>
  </sheetData>
  <sortState ref="B14:G115">
    <sortCondition ref="C14:C115"/>
  </sortState>
  <mergeCells count="28">
    <mergeCell ref="G126:J126"/>
    <mergeCell ref="G125:J125"/>
    <mergeCell ref="F115:H115"/>
    <mergeCell ref="F117:G117"/>
    <mergeCell ref="A4:A5"/>
    <mergeCell ref="I118:J118"/>
    <mergeCell ref="B4:B5"/>
    <mergeCell ref="C117:E117"/>
    <mergeCell ref="B118:B119"/>
    <mergeCell ref="C120:E120"/>
    <mergeCell ref="C116:E116"/>
    <mergeCell ref="D121:E121"/>
    <mergeCell ref="C122:E122"/>
    <mergeCell ref="C119:E119"/>
    <mergeCell ref="C118:E118"/>
    <mergeCell ref="E1:L1"/>
    <mergeCell ref="C4:C5"/>
    <mergeCell ref="D4:D5"/>
    <mergeCell ref="E4:E5"/>
    <mergeCell ref="A2:D3"/>
    <mergeCell ref="L4:L5"/>
    <mergeCell ref="K4:K5"/>
    <mergeCell ref="J4:J5"/>
    <mergeCell ref="F4:H4"/>
    <mergeCell ref="I4:I5"/>
    <mergeCell ref="I3:K3"/>
    <mergeCell ref="I2:L2"/>
    <mergeCell ref="A1:D1"/>
  </mergeCells>
  <printOptions horizontalCentered="1"/>
  <pageMargins left="0.19685039370078741" right="0.19685039370078741" top="0.59055118110236227" bottom="0.6692913385826772" header="0" footer="0"/>
  <pageSetup paperSize="9" scale="75" fitToHeight="13" orientation="landscape" cellComments="atEnd" horizontalDpi="300" verticalDpi="300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6:U100"/>
  <sheetViews>
    <sheetView workbookViewId="0">
      <selection activeCell="B1" sqref="B1"/>
    </sheetView>
  </sheetViews>
  <sheetFormatPr defaultRowHeight="15" x14ac:dyDescent="0.25"/>
  <sheetData>
    <row r="46" spans="1:19" x14ac:dyDescent="0.25">
      <c r="A46">
        <v>96173</v>
      </c>
      <c r="B46" t="s">
        <v>134</v>
      </c>
      <c r="C46" t="s">
        <v>135</v>
      </c>
      <c r="D46" t="s">
        <v>136</v>
      </c>
      <c r="E46" t="s">
        <v>137</v>
      </c>
      <c r="F46">
        <v>31</v>
      </c>
      <c r="G46" t="s">
        <v>138</v>
      </c>
      <c r="H46" t="s">
        <v>139</v>
      </c>
      <c r="I46" t="s">
        <v>137</v>
      </c>
      <c r="J46" t="s">
        <v>140</v>
      </c>
      <c r="K46">
        <v>10</v>
      </c>
      <c r="L46" t="s">
        <v>141</v>
      </c>
      <c r="M46" t="s">
        <v>142</v>
      </c>
      <c r="N46" t="s">
        <v>143</v>
      </c>
      <c r="O46" t="s">
        <v>137</v>
      </c>
      <c r="P46" t="s">
        <v>144</v>
      </c>
      <c r="Q46" t="s">
        <v>145</v>
      </c>
    </row>
    <row r="47" spans="1:19" x14ac:dyDescent="0.25">
      <c r="A47" t="s">
        <v>146</v>
      </c>
      <c r="B47" t="s">
        <v>147</v>
      </c>
    </row>
    <row r="48" spans="1:19" x14ac:dyDescent="0.25">
      <c r="A48" t="s">
        <v>148</v>
      </c>
      <c r="B48">
        <v>5953</v>
      </c>
      <c r="C48" t="s">
        <v>149</v>
      </c>
      <c r="D48" t="s">
        <v>137</v>
      </c>
      <c r="E48" t="s">
        <v>150</v>
      </c>
      <c r="F48" t="s">
        <v>151</v>
      </c>
      <c r="G48" t="s">
        <v>152</v>
      </c>
      <c r="H48">
        <v>189</v>
      </c>
      <c r="I48" t="s">
        <v>153</v>
      </c>
      <c r="J48" t="s">
        <v>154</v>
      </c>
      <c r="K48" t="s">
        <v>155</v>
      </c>
      <c r="L48" t="s">
        <v>137</v>
      </c>
      <c r="M48" t="s">
        <v>156</v>
      </c>
      <c r="N48">
        <v>102</v>
      </c>
      <c r="O48" t="s">
        <v>157</v>
      </c>
      <c r="P48" t="s">
        <v>158</v>
      </c>
      <c r="Q48">
        <v>6.3E-2</v>
      </c>
      <c r="R48">
        <v>35.409999999999997</v>
      </c>
      <c r="S48">
        <v>2.23</v>
      </c>
    </row>
    <row r="49" spans="1:20" x14ac:dyDescent="0.25">
      <c r="A49" t="s">
        <v>159</v>
      </c>
      <c r="B49" t="s">
        <v>160</v>
      </c>
      <c r="C49" t="s">
        <v>161</v>
      </c>
      <c r="D49" t="s">
        <v>162</v>
      </c>
      <c r="E49">
        <v>63</v>
      </c>
      <c r="F49" t="s">
        <v>163</v>
      </c>
      <c r="G49" t="s">
        <v>164</v>
      </c>
      <c r="H49" t="s">
        <v>157</v>
      </c>
      <c r="I49" t="s">
        <v>165</v>
      </c>
      <c r="J49" t="s">
        <v>166</v>
      </c>
    </row>
    <row r="50" spans="1:20" x14ac:dyDescent="0.25">
      <c r="A50" t="s">
        <v>148</v>
      </c>
      <c r="B50">
        <v>5954</v>
      </c>
      <c r="C50" t="s">
        <v>149</v>
      </c>
      <c r="D50" t="s">
        <v>137</v>
      </c>
      <c r="E50" t="s">
        <v>150</v>
      </c>
      <c r="F50" t="s">
        <v>151</v>
      </c>
      <c r="G50" t="s">
        <v>152</v>
      </c>
      <c r="H50">
        <v>189</v>
      </c>
      <c r="I50" t="s">
        <v>153</v>
      </c>
      <c r="J50" t="s">
        <v>154</v>
      </c>
      <c r="K50" t="s">
        <v>155</v>
      </c>
      <c r="L50" t="s">
        <v>137</v>
      </c>
      <c r="M50" t="s">
        <v>156</v>
      </c>
      <c r="N50">
        <v>102</v>
      </c>
      <c r="O50" t="s">
        <v>167</v>
      </c>
      <c r="P50" t="s">
        <v>158</v>
      </c>
      <c r="Q50">
        <v>0.25600000000000001</v>
      </c>
      <c r="R50">
        <v>2.94</v>
      </c>
      <c r="S50">
        <v>0.75</v>
      </c>
    </row>
    <row r="51" spans="1:20" x14ac:dyDescent="0.25">
      <c r="A51" t="s">
        <v>159</v>
      </c>
      <c r="B51" t="s">
        <v>160</v>
      </c>
      <c r="C51" t="s">
        <v>161</v>
      </c>
      <c r="D51" t="s">
        <v>162</v>
      </c>
      <c r="E51">
        <v>63</v>
      </c>
      <c r="F51" t="s">
        <v>163</v>
      </c>
      <c r="G51" t="s">
        <v>164</v>
      </c>
      <c r="H51" t="s">
        <v>167</v>
      </c>
      <c r="I51" t="s">
        <v>165</v>
      </c>
      <c r="J51" t="s">
        <v>166</v>
      </c>
    </row>
    <row r="52" spans="1:20" x14ac:dyDescent="0.25">
      <c r="A52" t="s">
        <v>168</v>
      </c>
      <c r="B52">
        <v>9875</v>
      </c>
      <c r="C52" t="s">
        <v>169</v>
      </c>
      <c r="D52" t="s">
        <v>170</v>
      </c>
      <c r="E52" t="s">
        <v>171</v>
      </c>
      <c r="F52" t="s">
        <v>172</v>
      </c>
      <c r="G52">
        <v>50</v>
      </c>
      <c r="H52" t="s">
        <v>173</v>
      </c>
      <c r="I52" t="s">
        <v>174</v>
      </c>
      <c r="J52" t="s">
        <v>175</v>
      </c>
      <c r="K52" t="s">
        <v>176</v>
      </c>
      <c r="L52" t="s">
        <v>177</v>
      </c>
      <c r="M52" t="s">
        <v>145</v>
      </c>
      <c r="N52" t="s">
        <v>178</v>
      </c>
      <c r="O52">
        <v>8.3000000000000001E-3</v>
      </c>
      <c r="P52">
        <v>8.09</v>
      </c>
      <c r="Q52">
        <v>0.06</v>
      </c>
    </row>
    <row r="53" spans="1:20" x14ac:dyDescent="0.25">
      <c r="A53" t="s">
        <v>168</v>
      </c>
      <c r="B53">
        <v>14583</v>
      </c>
      <c r="C53" t="s">
        <v>179</v>
      </c>
      <c r="D53" t="s">
        <v>180</v>
      </c>
      <c r="E53" t="s">
        <v>181</v>
      </c>
      <c r="F53">
        <v>0</v>
      </c>
      <c r="G53" t="s">
        <v>182</v>
      </c>
      <c r="H53" t="s">
        <v>183</v>
      </c>
      <c r="I53" t="s">
        <v>184</v>
      </c>
      <c r="J53" t="s">
        <v>185</v>
      </c>
      <c r="K53" t="s">
        <v>186</v>
      </c>
      <c r="L53" t="s">
        <v>178</v>
      </c>
      <c r="M53">
        <v>0.158</v>
      </c>
      <c r="N53">
        <v>13.43</v>
      </c>
      <c r="O53">
        <v>2.12</v>
      </c>
    </row>
    <row r="54" spans="1:20" x14ac:dyDescent="0.25">
      <c r="A54" t="s">
        <v>168</v>
      </c>
      <c r="B54">
        <v>41998</v>
      </c>
      <c r="C54" t="s">
        <v>169</v>
      </c>
      <c r="D54" t="s">
        <v>137</v>
      </c>
      <c r="E54" t="s">
        <v>187</v>
      </c>
      <c r="F54" t="s">
        <v>188</v>
      </c>
      <c r="G54" t="s">
        <v>189</v>
      </c>
      <c r="H54" t="s">
        <v>190</v>
      </c>
      <c r="I54" t="s">
        <v>191</v>
      </c>
      <c r="J54">
        <v>40</v>
      </c>
      <c r="K54" t="s">
        <v>192</v>
      </c>
      <c r="L54" t="s">
        <v>191</v>
      </c>
      <c r="M54">
        <v>80</v>
      </c>
      <c r="N54" t="s">
        <v>193</v>
      </c>
      <c r="O54" t="s">
        <v>145</v>
      </c>
      <c r="P54" t="s">
        <v>178</v>
      </c>
      <c r="Q54">
        <v>2.0000000000000001E-4</v>
      </c>
      <c r="R54" s="117">
        <v>1144.77</v>
      </c>
      <c r="S54">
        <v>0.22</v>
      </c>
    </row>
    <row r="55" spans="1:20" x14ac:dyDescent="0.25">
      <c r="A55" t="s">
        <v>194</v>
      </c>
      <c r="B55" t="s">
        <v>182</v>
      </c>
      <c r="C55" t="s">
        <v>195</v>
      </c>
      <c r="D55" t="s">
        <v>174</v>
      </c>
      <c r="E55" t="s">
        <v>196</v>
      </c>
      <c r="F55" t="s">
        <v>197</v>
      </c>
      <c r="G55" t="s">
        <v>198</v>
      </c>
      <c r="H55" t="s">
        <v>199</v>
      </c>
      <c r="I55" t="s">
        <v>200</v>
      </c>
      <c r="J55" t="s">
        <v>201</v>
      </c>
      <c r="K55" t="s">
        <v>202</v>
      </c>
    </row>
    <row r="56" spans="1:20" x14ac:dyDescent="0.25">
      <c r="A56" t="s">
        <v>203</v>
      </c>
    </row>
    <row r="57" spans="1:20" x14ac:dyDescent="0.25">
      <c r="A57" t="s">
        <v>148</v>
      </c>
      <c r="B57">
        <v>88316</v>
      </c>
      <c r="C57" t="s">
        <v>204</v>
      </c>
      <c r="D57" t="s">
        <v>142</v>
      </c>
      <c r="E57" t="s">
        <v>205</v>
      </c>
      <c r="F57" t="s">
        <v>206</v>
      </c>
      <c r="G57" t="s">
        <v>207</v>
      </c>
      <c r="H57" t="s">
        <v>178</v>
      </c>
      <c r="I57">
        <v>0.95799999999999996</v>
      </c>
      <c r="J57">
        <v>16.649999999999999</v>
      </c>
      <c r="K57">
        <v>15.95</v>
      </c>
    </row>
    <row r="58" spans="1:20" x14ac:dyDescent="0.25">
      <c r="A58" t="s">
        <v>208</v>
      </c>
      <c r="B58" t="s">
        <v>164</v>
      </c>
      <c r="C58" t="s">
        <v>209</v>
      </c>
      <c r="D58" t="s">
        <v>210</v>
      </c>
      <c r="E58" t="s">
        <v>137</v>
      </c>
      <c r="F58" t="s">
        <v>211</v>
      </c>
      <c r="G58" t="s">
        <v>137</v>
      </c>
      <c r="H58" t="s">
        <v>212</v>
      </c>
      <c r="I58" t="s">
        <v>182</v>
      </c>
      <c r="J58" t="s">
        <v>213</v>
      </c>
      <c r="K58" t="s">
        <v>214</v>
      </c>
      <c r="L58" t="s">
        <v>215</v>
      </c>
      <c r="M58" t="s">
        <v>216</v>
      </c>
      <c r="N58">
        <v>1</v>
      </c>
      <c r="O58">
        <v>1119</v>
      </c>
      <c r="P58" t="s">
        <v>217</v>
      </c>
      <c r="Q58">
        <v>3307</v>
      </c>
    </row>
    <row r="59" spans="1:20" x14ac:dyDescent="0.25">
      <c r="A59" t="s">
        <v>218</v>
      </c>
      <c r="B59" t="s">
        <v>164</v>
      </c>
      <c r="C59" t="s">
        <v>212</v>
      </c>
      <c r="D59" t="s">
        <v>137</v>
      </c>
      <c r="E59" t="s">
        <v>219</v>
      </c>
      <c r="F59" t="s">
        <v>220</v>
      </c>
      <c r="G59" t="s">
        <v>221</v>
      </c>
      <c r="H59" t="s">
        <v>137</v>
      </c>
      <c r="I59" t="s">
        <v>222</v>
      </c>
      <c r="J59" s="118">
        <v>0.15864583333333335</v>
      </c>
    </row>
    <row r="60" spans="1:20" x14ac:dyDescent="0.25">
      <c r="A60" t="s">
        <v>205</v>
      </c>
      <c r="B60" t="s">
        <v>223</v>
      </c>
      <c r="C60" t="s">
        <v>224</v>
      </c>
      <c r="D60" t="s">
        <v>225</v>
      </c>
      <c r="E60" t="s">
        <v>214</v>
      </c>
      <c r="F60" t="s">
        <v>226</v>
      </c>
      <c r="G60" t="s">
        <v>227</v>
      </c>
      <c r="H60" t="s">
        <v>228</v>
      </c>
    </row>
    <row r="61" spans="1:20" x14ac:dyDescent="0.25">
      <c r="A61" t="s">
        <v>229</v>
      </c>
      <c r="B61" t="s">
        <v>210</v>
      </c>
      <c r="C61" t="s">
        <v>221</v>
      </c>
      <c r="D61" t="s">
        <v>230</v>
      </c>
      <c r="E61" t="s">
        <v>231</v>
      </c>
      <c r="F61" s="119">
        <v>43628</v>
      </c>
    </row>
    <row r="62" spans="1:20" x14ac:dyDescent="0.25">
      <c r="A62" t="s">
        <v>232</v>
      </c>
      <c r="B62" t="s">
        <v>233</v>
      </c>
      <c r="C62" t="s">
        <v>234</v>
      </c>
      <c r="D62" t="s">
        <v>235</v>
      </c>
    </row>
    <row r="63" spans="1:20" x14ac:dyDescent="0.25">
      <c r="A63" t="s">
        <v>148</v>
      </c>
      <c r="B63">
        <v>90643</v>
      </c>
      <c r="C63" t="s">
        <v>236</v>
      </c>
      <c r="D63" t="s">
        <v>237</v>
      </c>
      <c r="E63" t="s">
        <v>174</v>
      </c>
      <c r="F63" t="s">
        <v>238</v>
      </c>
      <c r="G63" t="s">
        <v>137</v>
      </c>
      <c r="H63" t="s">
        <v>239</v>
      </c>
      <c r="I63" t="s">
        <v>137</v>
      </c>
      <c r="J63" t="s">
        <v>240</v>
      </c>
      <c r="K63" t="s">
        <v>152</v>
      </c>
      <c r="L63" t="s">
        <v>241</v>
      </c>
      <c r="M63" t="s">
        <v>137</v>
      </c>
      <c r="N63">
        <v>100</v>
      </c>
      <c r="O63" t="s">
        <v>242</v>
      </c>
      <c r="P63" t="s">
        <v>157</v>
      </c>
      <c r="Q63" t="s">
        <v>178</v>
      </c>
      <c r="R63">
        <v>2.3E-2</v>
      </c>
      <c r="S63">
        <v>13.25</v>
      </c>
      <c r="T63">
        <v>0.3</v>
      </c>
    </row>
    <row r="64" spans="1:20" x14ac:dyDescent="0.25">
      <c r="A64" t="s">
        <v>243</v>
      </c>
      <c r="B64" t="s">
        <v>154</v>
      </c>
      <c r="C64" t="s">
        <v>241</v>
      </c>
      <c r="D64" t="s">
        <v>137</v>
      </c>
      <c r="E64">
        <v>70</v>
      </c>
      <c r="F64" t="s">
        <v>244</v>
      </c>
      <c r="G64" t="s">
        <v>164</v>
      </c>
      <c r="H64" t="s">
        <v>157</v>
      </c>
      <c r="I64" t="s">
        <v>165</v>
      </c>
      <c r="J64" t="s">
        <v>166</v>
      </c>
    </row>
    <row r="65" spans="1:21" x14ac:dyDescent="0.25">
      <c r="A65" t="s">
        <v>148</v>
      </c>
      <c r="B65">
        <v>90644</v>
      </c>
      <c r="C65" t="s">
        <v>236</v>
      </c>
      <c r="D65" t="s">
        <v>237</v>
      </c>
      <c r="E65" t="s">
        <v>174</v>
      </c>
      <c r="F65" t="s">
        <v>238</v>
      </c>
      <c r="G65" t="s">
        <v>137</v>
      </c>
      <c r="H65" t="s">
        <v>239</v>
      </c>
      <c r="I65" t="s">
        <v>137</v>
      </c>
      <c r="J65" t="s">
        <v>240</v>
      </c>
      <c r="K65" t="s">
        <v>152</v>
      </c>
      <c r="L65" t="s">
        <v>241</v>
      </c>
      <c r="M65" t="s">
        <v>137</v>
      </c>
      <c r="N65">
        <v>100</v>
      </c>
      <c r="O65" t="s">
        <v>242</v>
      </c>
      <c r="P65" t="s">
        <v>167</v>
      </c>
      <c r="Q65" t="s">
        <v>178</v>
      </c>
      <c r="R65">
        <v>0.29599999999999999</v>
      </c>
      <c r="S65">
        <v>4.2699999999999996</v>
      </c>
      <c r="T65">
        <v>1.26</v>
      </c>
    </row>
    <row r="66" spans="1:21" x14ac:dyDescent="0.25">
      <c r="A66" t="s">
        <v>243</v>
      </c>
      <c r="B66" t="s">
        <v>154</v>
      </c>
      <c r="C66" t="s">
        <v>241</v>
      </c>
      <c r="D66" t="s">
        <v>137</v>
      </c>
      <c r="E66">
        <v>70</v>
      </c>
      <c r="F66" t="s">
        <v>244</v>
      </c>
      <c r="G66" t="s">
        <v>164</v>
      </c>
      <c r="H66" t="s">
        <v>167</v>
      </c>
      <c r="I66" t="s">
        <v>165</v>
      </c>
      <c r="J66" t="s">
        <v>166</v>
      </c>
    </row>
    <row r="67" spans="1:21" x14ac:dyDescent="0.25">
      <c r="A67" t="s">
        <v>148</v>
      </c>
      <c r="B67">
        <v>90650</v>
      </c>
      <c r="C67" t="s">
        <v>236</v>
      </c>
      <c r="D67" t="s">
        <v>245</v>
      </c>
      <c r="E67" t="s">
        <v>246</v>
      </c>
      <c r="F67" t="s">
        <v>142</v>
      </c>
      <c r="G67" t="s">
        <v>160</v>
      </c>
      <c r="H67" t="s">
        <v>247</v>
      </c>
      <c r="I67" t="s">
        <v>248</v>
      </c>
      <c r="J67" t="s">
        <v>162</v>
      </c>
      <c r="K67">
        <v>15</v>
      </c>
      <c r="L67" t="s">
        <v>249</v>
      </c>
      <c r="M67" t="s">
        <v>157</v>
      </c>
      <c r="N67" t="s">
        <v>178</v>
      </c>
      <c r="O67">
        <v>0.1</v>
      </c>
      <c r="P67">
        <v>7.72</v>
      </c>
      <c r="Q67">
        <v>0.77</v>
      </c>
    </row>
    <row r="68" spans="1:21" x14ac:dyDescent="0.25">
      <c r="A68" t="s">
        <v>250</v>
      </c>
      <c r="B68" t="s">
        <v>136</v>
      </c>
      <c r="C68" t="s">
        <v>251</v>
      </c>
      <c r="D68" t="s">
        <v>252</v>
      </c>
      <c r="E68">
        <v>173</v>
      </c>
      <c r="F68" t="s">
        <v>173</v>
      </c>
      <c r="G68" t="s">
        <v>253</v>
      </c>
      <c r="H68" t="s">
        <v>254</v>
      </c>
      <c r="I68">
        <v>30</v>
      </c>
      <c r="J68" t="s">
        <v>255</v>
      </c>
      <c r="K68" t="s">
        <v>256</v>
      </c>
      <c r="L68">
        <v>90</v>
      </c>
      <c r="M68" t="s">
        <v>257</v>
      </c>
      <c r="N68" t="s">
        <v>180</v>
      </c>
      <c r="O68">
        <v>45</v>
      </c>
      <c r="P68" t="s">
        <v>255</v>
      </c>
      <c r="Q68" t="s">
        <v>256</v>
      </c>
      <c r="R68">
        <v>55</v>
      </c>
      <c r="S68" t="s">
        <v>257</v>
      </c>
      <c r="T68" t="s">
        <v>164</v>
      </c>
      <c r="U68" t="s">
        <v>148</v>
      </c>
    </row>
    <row r="69" spans="1:21" x14ac:dyDescent="0.25">
      <c r="A69" t="s">
        <v>249</v>
      </c>
      <c r="B69" t="s">
        <v>165</v>
      </c>
      <c r="C69" t="s">
        <v>166</v>
      </c>
    </row>
    <row r="70" spans="1:21" x14ac:dyDescent="0.25">
      <c r="A70" t="s">
        <v>148</v>
      </c>
      <c r="B70">
        <v>90651</v>
      </c>
      <c r="C70" t="s">
        <v>236</v>
      </c>
      <c r="D70" t="s">
        <v>245</v>
      </c>
      <c r="E70" t="s">
        <v>246</v>
      </c>
      <c r="F70" t="s">
        <v>142</v>
      </c>
      <c r="G70" t="s">
        <v>160</v>
      </c>
      <c r="H70" t="s">
        <v>247</v>
      </c>
      <c r="I70" t="s">
        <v>248</v>
      </c>
      <c r="J70" t="s">
        <v>162</v>
      </c>
      <c r="K70">
        <v>15</v>
      </c>
      <c r="L70" t="s">
        <v>249</v>
      </c>
      <c r="M70" t="s">
        <v>167</v>
      </c>
      <c r="N70" t="s">
        <v>178</v>
      </c>
      <c r="O70">
        <v>0.219</v>
      </c>
      <c r="P70">
        <v>0.51</v>
      </c>
      <c r="Q70">
        <v>0.11</v>
      </c>
    </row>
    <row r="71" spans="1:21" x14ac:dyDescent="0.25">
      <c r="A71" t="s">
        <v>250</v>
      </c>
      <c r="B71" t="s">
        <v>136</v>
      </c>
      <c r="C71" t="s">
        <v>251</v>
      </c>
      <c r="D71" t="s">
        <v>252</v>
      </c>
      <c r="E71">
        <v>173</v>
      </c>
      <c r="F71" t="s">
        <v>173</v>
      </c>
      <c r="G71" t="s">
        <v>253</v>
      </c>
      <c r="H71" t="s">
        <v>254</v>
      </c>
      <c r="I71">
        <v>30</v>
      </c>
      <c r="J71" t="s">
        <v>255</v>
      </c>
      <c r="K71" t="s">
        <v>256</v>
      </c>
      <c r="L71">
        <v>90</v>
      </c>
      <c r="M71" t="s">
        <v>257</v>
      </c>
      <c r="N71" t="s">
        <v>180</v>
      </c>
      <c r="O71">
        <v>45</v>
      </c>
      <c r="P71" t="s">
        <v>255</v>
      </c>
      <c r="Q71" t="s">
        <v>256</v>
      </c>
      <c r="R71">
        <v>55</v>
      </c>
      <c r="S71" t="s">
        <v>257</v>
      </c>
      <c r="T71" t="s">
        <v>164</v>
      </c>
      <c r="U71" t="s">
        <v>148</v>
      </c>
    </row>
    <row r="72" spans="1:21" x14ac:dyDescent="0.25">
      <c r="A72" t="s">
        <v>258</v>
      </c>
      <c r="B72" t="s">
        <v>165</v>
      </c>
      <c r="C72" t="s">
        <v>166</v>
      </c>
    </row>
    <row r="73" spans="1:21" x14ac:dyDescent="0.25">
      <c r="A73" t="s">
        <v>148</v>
      </c>
      <c r="B73">
        <v>95563</v>
      </c>
      <c r="C73" t="s">
        <v>259</v>
      </c>
      <c r="D73" t="s">
        <v>260</v>
      </c>
      <c r="E73" s="120">
        <v>7.1354166666666669E-4</v>
      </c>
      <c r="F73" t="s">
        <v>261</v>
      </c>
      <c r="G73" t="s">
        <v>182</v>
      </c>
      <c r="H73" t="s">
        <v>262</v>
      </c>
      <c r="I73" t="s">
        <v>263</v>
      </c>
      <c r="J73" t="s">
        <v>264</v>
      </c>
      <c r="K73">
        <v>20</v>
      </c>
      <c r="L73" t="s">
        <v>265</v>
      </c>
      <c r="M73" t="s">
        <v>266</v>
      </c>
      <c r="N73" t="s">
        <v>267</v>
      </c>
      <c r="O73" t="s">
        <v>186</v>
      </c>
      <c r="P73" t="s">
        <v>178</v>
      </c>
      <c r="Q73">
        <v>0.14299999999999999</v>
      </c>
      <c r="R73">
        <v>562.70000000000005</v>
      </c>
      <c r="S73">
        <v>80.459999999999994</v>
      </c>
    </row>
    <row r="74" spans="1:21" x14ac:dyDescent="0.25">
      <c r="A74" t="s">
        <v>268</v>
      </c>
      <c r="B74" t="s">
        <v>142</v>
      </c>
      <c r="C74" t="s">
        <v>269</v>
      </c>
      <c r="D74" t="s">
        <v>270</v>
      </c>
      <c r="E74" t="s">
        <v>271</v>
      </c>
      <c r="F74" t="s">
        <v>137</v>
      </c>
      <c r="G74" t="s">
        <v>272</v>
      </c>
      <c r="H74" t="s">
        <v>273</v>
      </c>
      <c r="I74" t="s">
        <v>274</v>
      </c>
    </row>
    <row r="75" spans="1:21" x14ac:dyDescent="0.25">
      <c r="A75" t="s">
        <v>148</v>
      </c>
      <c r="B75">
        <v>95580</v>
      </c>
      <c r="C75" t="s">
        <v>275</v>
      </c>
      <c r="D75" t="s">
        <v>137</v>
      </c>
      <c r="E75" t="s">
        <v>276</v>
      </c>
      <c r="F75" t="s">
        <v>277</v>
      </c>
      <c r="G75" t="s">
        <v>137</v>
      </c>
      <c r="H75" t="s">
        <v>278</v>
      </c>
      <c r="I75" t="s">
        <v>137</v>
      </c>
      <c r="J75" t="s">
        <v>279</v>
      </c>
      <c r="K75" t="s">
        <v>280</v>
      </c>
      <c r="L75" t="s">
        <v>136</v>
      </c>
      <c r="M75" t="s">
        <v>254</v>
      </c>
      <c r="N75" t="s">
        <v>281</v>
      </c>
      <c r="O75" t="s">
        <v>178</v>
      </c>
      <c r="P75">
        <v>14.795999999999999</v>
      </c>
      <c r="Q75">
        <v>6.2</v>
      </c>
      <c r="R75">
        <v>91.73</v>
      </c>
    </row>
    <row r="76" spans="1:21" x14ac:dyDescent="0.25">
      <c r="A76">
        <v>20</v>
      </c>
      <c r="B76" t="s">
        <v>282</v>
      </c>
      <c r="C76" t="s">
        <v>274</v>
      </c>
    </row>
    <row r="77" spans="1:21" x14ac:dyDescent="0.25">
      <c r="A77" t="s">
        <v>148</v>
      </c>
      <c r="B77">
        <v>95584</v>
      </c>
      <c r="C77" t="s">
        <v>275</v>
      </c>
      <c r="D77" t="s">
        <v>137</v>
      </c>
      <c r="E77" t="s">
        <v>276</v>
      </c>
      <c r="F77" t="s">
        <v>283</v>
      </c>
      <c r="G77" t="s">
        <v>137</v>
      </c>
      <c r="H77" t="s">
        <v>278</v>
      </c>
      <c r="I77" t="s">
        <v>137</v>
      </c>
      <c r="J77" t="s">
        <v>279</v>
      </c>
      <c r="K77" t="s">
        <v>280</v>
      </c>
      <c r="L77" t="s">
        <v>136</v>
      </c>
      <c r="M77" t="s">
        <v>254</v>
      </c>
      <c r="N77" t="s">
        <v>281</v>
      </c>
      <c r="O77" t="s">
        <v>178</v>
      </c>
      <c r="P77">
        <v>0.73099999999999998</v>
      </c>
      <c r="Q77">
        <v>10.119999999999999</v>
      </c>
      <c r="R77">
        <v>7.39</v>
      </c>
    </row>
    <row r="78" spans="1:21" x14ac:dyDescent="0.25">
      <c r="A78">
        <v>6.3</v>
      </c>
      <c r="B78" t="s">
        <v>282</v>
      </c>
      <c r="C78" t="s">
        <v>274</v>
      </c>
    </row>
    <row r="79" spans="1:21" x14ac:dyDescent="0.25">
      <c r="A79" t="s">
        <v>148</v>
      </c>
      <c r="B79">
        <v>95967</v>
      </c>
      <c r="C79" t="s">
        <v>284</v>
      </c>
      <c r="D79" t="s">
        <v>285</v>
      </c>
      <c r="E79" t="s">
        <v>286</v>
      </c>
      <c r="F79" t="s">
        <v>174</v>
      </c>
      <c r="G79" t="s">
        <v>287</v>
      </c>
      <c r="H79" t="s">
        <v>137</v>
      </c>
      <c r="I79" t="s">
        <v>288</v>
      </c>
      <c r="J79" t="s">
        <v>137</v>
      </c>
      <c r="K79" t="s">
        <v>289</v>
      </c>
      <c r="L79" t="s">
        <v>207</v>
      </c>
      <c r="M79" t="s">
        <v>178</v>
      </c>
      <c r="N79">
        <v>0.32</v>
      </c>
      <c r="O79">
        <v>133.37</v>
      </c>
      <c r="P79">
        <v>42.67</v>
      </c>
    </row>
    <row r="80" spans="1:21" x14ac:dyDescent="0.25">
      <c r="A80" t="s">
        <v>290</v>
      </c>
      <c r="B80" t="s">
        <v>291</v>
      </c>
      <c r="C80" t="s">
        <v>182</v>
      </c>
      <c r="D80" t="s">
        <v>292</v>
      </c>
      <c r="E80" t="s">
        <v>137</v>
      </c>
      <c r="F80" t="s">
        <v>293</v>
      </c>
    </row>
    <row r="81" spans="1:20" x14ac:dyDescent="0.25">
      <c r="A81" t="s">
        <v>148</v>
      </c>
      <c r="B81">
        <v>96302</v>
      </c>
      <c r="C81" t="s">
        <v>294</v>
      </c>
      <c r="D81" t="s">
        <v>295</v>
      </c>
      <c r="E81" t="s">
        <v>224</v>
      </c>
      <c r="F81" t="s">
        <v>296</v>
      </c>
      <c r="G81" t="s">
        <v>297</v>
      </c>
      <c r="H81" t="s">
        <v>298</v>
      </c>
      <c r="I81">
        <v>2500</v>
      </c>
      <c r="J81" t="s">
        <v>299</v>
      </c>
      <c r="K81" t="s">
        <v>300</v>
      </c>
      <c r="L81">
        <v>110</v>
      </c>
      <c r="M81" t="s">
        <v>207</v>
      </c>
      <c r="N81" t="s">
        <v>167</v>
      </c>
      <c r="O81" t="s">
        <v>178</v>
      </c>
      <c r="P81">
        <v>0.156</v>
      </c>
      <c r="Q81">
        <v>73.05</v>
      </c>
      <c r="R81">
        <v>11.39</v>
      </c>
    </row>
    <row r="82" spans="1:20" x14ac:dyDescent="0.25">
      <c r="A82" t="s">
        <v>301</v>
      </c>
      <c r="B82" t="s">
        <v>160</v>
      </c>
      <c r="C82" t="s">
        <v>302</v>
      </c>
      <c r="D82" t="s">
        <v>164</v>
      </c>
      <c r="E82" t="s">
        <v>167</v>
      </c>
      <c r="F82" t="s">
        <v>165</v>
      </c>
      <c r="G82" t="s">
        <v>147</v>
      </c>
    </row>
    <row r="83" spans="1:20" x14ac:dyDescent="0.25">
      <c r="A83" t="s">
        <v>148</v>
      </c>
      <c r="B83">
        <v>96303</v>
      </c>
      <c r="C83" t="s">
        <v>294</v>
      </c>
      <c r="D83" t="s">
        <v>295</v>
      </c>
      <c r="E83" t="s">
        <v>224</v>
      </c>
      <c r="F83" t="s">
        <v>296</v>
      </c>
      <c r="G83" t="s">
        <v>297</v>
      </c>
      <c r="H83" t="s">
        <v>298</v>
      </c>
      <c r="I83">
        <v>2500</v>
      </c>
      <c r="J83" t="s">
        <v>299</v>
      </c>
      <c r="K83" t="s">
        <v>300</v>
      </c>
      <c r="L83">
        <v>110</v>
      </c>
      <c r="M83" t="s">
        <v>207</v>
      </c>
      <c r="N83" t="s">
        <v>157</v>
      </c>
      <c r="O83" t="s">
        <v>178</v>
      </c>
      <c r="P83">
        <v>0.16400000000000001</v>
      </c>
      <c r="Q83">
        <v>175.01</v>
      </c>
      <c r="R83">
        <v>28.7</v>
      </c>
    </row>
    <row r="84" spans="1:20" x14ac:dyDescent="0.25">
      <c r="A84" t="s">
        <v>301</v>
      </c>
      <c r="B84" t="s">
        <v>160</v>
      </c>
      <c r="C84" t="s">
        <v>303</v>
      </c>
      <c r="D84" t="s">
        <v>157</v>
      </c>
      <c r="E84" t="s">
        <v>165</v>
      </c>
      <c r="F84" t="s">
        <v>147</v>
      </c>
    </row>
    <row r="85" spans="1:20" x14ac:dyDescent="0.25">
      <c r="A85" t="s">
        <v>148</v>
      </c>
      <c r="B85">
        <v>96308</v>
      </c>
      <c r="C85" t="s">
        <v>149</v>
      </c>
      <c r="D85" t="s">
        <v>137</v>
      </c>
      <c r="E85" t="s">
        <v>304</v>
      </c>
      <c r="F85" t="s">
        <v>305</v>
      </c>
      <c r="G85" t="s">
        <v>137</v>
      </c>
      <c r="H85">
        <v>10</v>
      </c>
      <c r="I85" t="s">
        <v>153</v>
      </c>
      <c r="J85" t="s">
        <v>306</v>
      </c>
      <c r="K85">
        <v>100</v>
      </c>
      <c r="L85" t="s">
        <v>307</v>
      </c>
      <c r="M85" t="s">
        <v>308</v>
      </c>
      <c r="N85" t="s">
        <v>137</v>
      </c>
      <c r="O85" t="s">
        <v>156</v>
      </c>
      <c r="P85" t="s">
        <v>167</v>
      </c>
      <c r="Q85" t="s">
        <v>158</v>
      </c>
      <c r="R85">
        <v>0.309</v>
      </c>
      <c r="S85">
        <v>0.14000000000000001</v>
      </c>
      <c r="T85">
        <v>0.04</v>
      </c>
    </row>
    <row r="86" spans="1:20" x14ac:dyDescent="0.25">
      <c r="A86" t="s">
        <v>181</v>
      </c>
      <c r="B86">
        <v>6.9</v>
      </c>
      <c r="C86" t="s">
        <v>182</v>
      </c>
      <c r="D86">
        <v>9.6999999999999993</v>
      </c>
      <c r="E86" t="s">
        <v>244</v>
      </c>
      <c r="F86" t="s">
        <v>300</v>
      </c>
      <c r="G86">
        <v>2</v>
      </c>
      <c r="H86" t="s">
        <v>309</v>
      </c>
      <c r="I86" t="s">
        <v>310</v>
      </c>
      <c r="J86" t="s">
        <v>311</v>
      </c>
      <c r="K86" t="s">
        <v>312</v>
      </c>
      <c r="L86" t="s">
        <v>167</v>
      </c>
      <c r="M86" t="s">
        <v>165</v>
      </c>
      <c r="N86" t="s">
        <v>313</v>
      </c>
    </row>
    <row r="87" spans="1:20" x14ac:dyDescent="0.25">
      <c r="A87">
        <v>2017</v>
      </c>
    </row>
    <row r="88" spans="1:20" x14ac:dyDescent="0.25">
      <c r="A88" t="s">
        <v>208</v>
      </c>
      <c r="B88" t="s">
        <v>164</v>
      </c>
      <c r="C88" t="s">
        <v>209</v>
      </c>
      <c r="D88" t="s">
        <v>210</v>
      </c>
      <c r="E88" t="s">
        <v>137</v>
      </c>
      <c r="F88" t="s">
        <v>211</v>
      </c>
      <c r="G88" t="s">
        <v>137</v>
      </c>
      <c r="H88" t="s">
        <v>212</v>
      </c>
      <c r="I88" t="s">
        <v>182</v>
      </c>
      <c r="J88" t="s">
        <v>213</v>
      </c>
      <c r="K88" t="s">
        <v>214</v>
      </c>
      <c r="L88" t="s">
        <v>215</v>
      </c>
      <c r="M88" t="s">
        <v>216</v>
      </c>
      <c r="N88">
        <v>1</v>
      </c>
      <c r="O88">
        <v>1120</v>
      </c>
      <c r="P88" t="s">
        <v>217</v>
      </c>
      <c r="Q88">
        <v>3307</v>
      </c>
    </row>
    <row r="89" spans="1:20" x14ac:dyDescent="0.25">
      <c r="A89" t="s">
        <v>218</v>
      </c>
      <c r="B89" t="s">
        <v>164</v>
      </c>
      <c r="C89" t="s">
        <v>212</v>
      </c>
      <c r="D89" t="s">
        <v>137</v>
      </c>
      <c r="E89" t="s">
        <v>219</v>
      </c>
      <c r="F89" t="s">
        <v>220</v>
      </c>
      <c r="G89" t="s">
        <v>221</v>
      </c>
      <c r="H89" t="s">
        <v>137</v>
      </c>
      <c r="I89" t="s">
        <v>222</v>
      </c>
      <c r="J89" s="118">
        <v>0.15864583333333335</v>
      </c>
    </row>
    <row r="90" spans="1:20" x14ac:dyDescent="0.25">
      <c r="A90" t="s">
        <v>205</v>
      </c>
      <c r="B90" t="s">
        <v>223</v>
      </c>
      <c r="C90" t="s">
        <v>224</v>
      </c>
      <c r="D90" t="s">
        <v>225</v>
      </c>
      <c r="E90" t="s">
        <v>214</v>
      </c>
      <c r="F90" t="s">
        <v>226</v>
      </c>
      <c r="G90" t="s">
        <v>227</v>
      </c>
      <c r="H90" t="s">
        <v>228</v>
      </c>
    </row>
    <row r="91" spans="1:20" x14ac:dyDescent="0.25">
      <c r="A91" t="s">
        <v>229</v>
      </c>
      <c r="B91" t="s">
        <v>210</v>
      </c>
      <c r="C91" t="s">
        <v>221</v>
      </c>
      <c r="D91" t="s">
        <v>230</v>
      </c>
      <c r="E91" t="s">
        <v>231</v>
      </c>
      <c r="F91" s="119">
        <v>43628</v>
      </c>
    </row>
    <row r="92" spans="1:20" x14ac:dyDescent="0.25">
      <c r="A92" t="s">
        <v>232</v>
      </c>
      <c r="B92" t="s">
        <v>233</v>
      </c>
      <c r="C92" t="s">
        <v>234</v>
      </c>
      <c r="D92" t="s">
        <v>235</v>
      </c>
    </row>
    <row r="93" spans="1:20" x14ac:dyDescent="0.25">
      <c r="A93" t="s">
        <v>148</v>
      </c>
      <c r="B93">
        <v>96309</v>
      </c>
      <c r="C93" t="s">
        <v>149</v>
      </c>
      <c r="D93" t="s">
        <v>137</v>
      </c>
      <c r="E93" t="s">
        <v>304</v>
      </c>
      <c r="F93" t="s">
        <v>305</v>
      </c>
      <c r="G93" t="s">
        <v>137</v>
      </c>
      <c r="H93">
        <v>10</v>
      </c>
      <c r="I93" t="s">
        <v>153</v>
      </c>
      <c r="J93" t="s">
        <v>306</v>
      </c>
      <c r="K93">
        <v>100</v>
      </c>
      <c r="L93" t="s">
        <v>307</v>
      </c>
      <c r="M93" t="s">
        <v>308</v>
      </c>
      <c r="N93" t="s">
        <v>137</v>
      </c>
      <c r="O93" t="s">
        <v>156</v>
      </c>
      <c r="P93" t="s">
        <v>157</v>
      </c>
      <c r="Q93" t="s">
        <v>158</v>
      </c>
      <c r="R93">
        <v>1.0999999999999999E-2</v>
      </c>
      <c r="S93">
        <v>1.1499999999999999</v>
      </c>
      <c r="T93">
        <v>0.01</v>
      </c>
    </row>
    <row r="94" spans="1:20" x14ac:dyDescent="0.25">
      <c r="A94" t="s">
        <v>181</v>
      </c>
      <c r="B94">
        <v>6.9</v>
      </c>
      <c r="C94" t="s">
        <v>182</v>
      </c>
      <c r="D94">
        <v>9.6999999999999993</v>
      </c>
      <c r="E94" t="s">
        <v>314</v>
      </c>
      <c r="F94" t="s">
        <v>300</v>
      </c>
      <c r="G94">
        <v>2</v>
      </c>
      <c r="H94" t="s">
        <v>309</v>
      </c>
      <c r="I94" t="s">
        <v>310</v>
      </c>
      <c r="J94" t="s">
        <v>311</v>
      </c>
      <c r="K94" t="s">
        <v>312</v>
      </c>
      <c r="L94" t="s">
        <v>164</v>
      </c>
      <c r="M94" t="s">
        <v>157</v>
      </c>
      <c r="N94" t="s">
        <v>165</v>
      </c>
      <c r="O94" t="s">
        <v>313</v>
      </c>
    </row>
    <row r="95" spans="1:20" x14ac:dyDescent="0.25">
      <c r="A95">
        <v>2017</v>
      </c>
    </row>
    <row r="96" spans="1:20" x14ac:dyDescent="0.25">
      <c r="A96" t="s">
        <v>315</v>
      </c>
      <c r="B96" t="s">
        <v>233</v>
      </c>
      <c r="C96">
        <v>28.83</v>
      </c>
      <c r="D96">
        <v>10.0768363</v>
      </c>
      <c r="E96" t="s">
        <v>316</v>
      </c>
    </row>
    <row r="97" spans="1:11" x14ac:dyDescent="0.25">
      <c r="A97" t="s">
        <v>7</v>
      </c>
      <c r="B97" t="s">
        <v>233</v>
      </c>
      <c r="C97">
        <v>161.38999999999999</v>
      </c>
      <c r="D97">
        <v>56.390103099999997</v>
      </c>
      <c r="E97" t="s">
        <v>316</v>
      </c>
    </row>
    <row r="98" spans="1:11" x14ac:dyDescent="0.25">
      <c r="A98" t="s">
        <v>317</v>
      </c>
      <c r="B98" t="s">
        <v>137</v>
      </c>
      <c r="C98" t="s">
        <v>318</v>
      </c>
      <c r="D98" t="s">
        <v>233</v>
      </c>
      <c r="E98">
        <v>94.79</v>
      </c>
      <c r="F98">
        <v>33.127731500000003</v>
      </c>
      <c r="G98" t="s">
        <v>316</v>
      </c>
    </row>
    <row r="99" spans="1:11" x14ac:dyDescent="0.25">
      <c r="A99" t="s">
        <v>319</v>
      </c>
      <c r="B99" t="s">
        <v>233</v>
      </c>
      <c r="C99">
        <v>1.1499999999999999</v>
      </c>
      <c r="D99">
        <v>0.4053291</v>
      </c>
      <c r="E99" t="s">
        <v>316</v>
      </c>
    </row>
    <row r="100" spans="1:11" x14ac:dyDescent="0.25">
      <c r="A100" t="s">
        <v>9</v>
      </c>
      <c r="B100" t="s">
        <v>320</v>
      </c>
      <c r="C100" t="s">
        <v>233</v>
      </c>
      <c r="D100">
        <v>286.16000000000003</v>
      </c>
      <c r="E100">
        <v>100</v>
      </c>
      <c r="F100" t="s">
        <v>316</v>
      </c>
      <c r="G100" t="s">
        <v>164</v>
      </c>
      <c r="H100" t="s">
        <v>321</v>
      </c>
      <c r="I100" t="s">
        <v>137</v>
      </c>
      <c r="J100" t="s">
        <v>322</v>
      </c>
      <c r="K100" t="s">
        <v>178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Plan1</vt:lpstr>
      <vt:lpstr>orçamento!Area_de_impressao</vt:lpstr>
      <vt:lpstr>orçamento!Titulos_de_impressao</vt:lpstr>
    </vt:vector>
  </TitlesOfParts>
  <Company>Valle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Claudio Juares Ferronato</cp:lastModifiedBy>
  <cp:lastPrinted>2017-06-26T23:22:16Z</cp:lastPrinted>
  <dcterms:created xsi:type="dcterms:W3CDTF">2011-05-08T22:07:08Z</dcterms:created>
  <dcterms:modified xsi:type="dcterms:W3CDTF">2019-09-18T18:13:50Z</dcterms:modified>
</cp:coreProperties>
</file>